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/>
  <bookViews>
    <workbookView xWindow="0" yWindow="0" windowWidth="22260" windowHeight="12648" activeTab="1"/>
  </bookViews>
  <sheets>
    <sheet name="Reverzní kyvadlo" sheetId="1" r:id="rId1"/>
    <sheet name="Cavendishovy váhy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2" i="2" l="1"/>
  <c r="U22" i="2"/>
  <c r="U23" i="2" s="1"/>
  <c r="U34" i="2"/>
  <c r="V33" i="2"/>
  <c r="U33" i="2"/>
  <c r="X21" i="2"/>
  <c r="Q32" i="2"/>
  <c r="S31" i="2"/>
  <c r="S30" i="2"/>
  <c r="R30" i="2"/>
  <c r="S40" i="2"/>
  <c r="Q40" i="2"/>
  <c r="R40" i="2" s="1"/>
  <c r="T28" i="2"/>
  <c r="P28" i="2"/>
  <c r="N28" i="2"/>
  <c r="R31" i="2"/>
  <c r="Q31" i="2"/>
  <c r="Q30" i="2"/>
  <c r="O30" i="2"/>
  <c r="L30" i="2"/>
  <c r="F28" i="2"/>
  <c r="S2" i="2"/>
  <c r="X7" i="2"/>
  <c r="V23" i="2" l="1"/>
  <c r="Y8" i="2"/>
  <c r="Y7" i="2"/>
  <c r="Y9" i="2" s="1"/>
  <c r="Y11" i="2" s="1"/>
  <c r="Z12" i="2" s="1"/>
  <c r="U4" i="2"/>
  <c r="T4" i="2"/>
  <c r="X9" i="2"/>
  <c r="X10" i="2" s="1"/>
  <c r="Z9" i="2"/>
  <c r="Q26" i="2"/>
  <c r="R26" i="2" s="1"/>
  <c r="Q3" i="2"/>
  <c r="R3" i="2" s="1"/>
  <c r="Q4" i="2"/>
  <c r="R4" i="2" s="1"/>
  <c r="Q5" i="2"/>
  <c r="R5" i="2" s="1"/>
  <c r="Q6" i="2"/>
  <c r="R6" i="2" s="1"/>
  <c r="Q7" i="2"/>
  <c r="R7" i="2" s="1"/>
  <c r="Q8" i="2"/>
  <c r="R8" i="2" s="1"/>
  <c r="Q9" i="2"/>
  <c r="R9" i="2" s="1"/>
  <c r="Q10" i="2"/>
  <c r="R10" i="2" s="1"/>
  <c r="Q11" i="2"/>
  <c r="R11" i="2" s="1"/>
  <c r="Q12" i="2"/>
  <c r="R12" i="2" s="1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 s="1"/>
  <c r="Q21" i="2"/>
  <c r="R21" i="2" s="1"/>
  <c r="Q22" i="2"/>
  <c r="R22" i="2" s="1"/>
  <c r="Q23" i="2"/>
  <c r="R23" i="2" s="1"/>
  <c r="Q24" i="2"/>
  <c r="R24" i="2" s="1"/>
  <c r="Q25" i="2"/>
  <c r="R25" i="2" s="1"/>
  <c r="H31" i="2"/>
  <c r="Q2" i="2" s="1"/>
  <c r="R2" i="2" s="1"/>
  <c r="H30" i="2"/>
  <c r="P6" i="1"/>
  <c r="O6" i="1"/>
  <c r="C12" i="1"/>
  <c r="C11" i="1"/>
  <c r="B14" i="1"/>
  <c r="B11" i="1"/>
  <c r="B12" i="1" s="1"/>
  <c r="R27" i="2" l="1"/>
  <c r="Y13" i="2"/>
  <c r="Y12" i="2"/>
  <c r="X8" i="2"/>
  <c r="W8" i="2"/>
  <c r="V8" i="2"/>
  <c r="U8" i="2"/>
  <c r="W7" i="2"/>
  <c r="V7" i="2"/>
  <c r="U7" i="2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" i="2"/>
  <c r="P2" i="2" s="1"/>
  <c r="H3" i="2"/>
  <c r="H4" i="2"/>
  <c r="H5" i="2"/>
  <c r="O5" i="2" s="1"/>
  <c r="H6" i="2"/>
  <c r="O6" i="2" s="1"/>
  <c r="H7" i="2"/>
  <c r="H8" i="2"/>
  <c r="H9" i="2"/>
  <c r="O9" i="2" s="1"/>
  <c r="H10" i="2"/>
  <c r="O10" i="2" s="1"/>
  <c r="H11" i="2"/>
  <c r="H12" i="2"/>
  <c r="H13" i="2"/>
  <c r="O13" i="2" s="1"/>
  <c r="H14" i="2"/>
  <c r="O14" i="2" s="1"/>
  <c r="H15" i="2"/>
  <c r="H16" i="2"/>
  <c r="H17" i="2"/>
  <c r="O17" i="2" s="1"/>
  <c r="H18" i="2"/>
  <c r="O18" i="2" s="1"/>
  <c r="H19" i="2"/>
  <c r="H20" i="2"/>
  <c r="H21" i="2"/>
  <c r="O21" i="2" s="1"/>
  <c r="H22" i="2"/>
  <c r="O22" i="2" s="1"/>
  <c r="H23" i="2"/>
  <c r="H24" i="2"/>
  <c r="H25" i="2"/>
  <c r="O25" i="2" s="1"/>
  <c r="H26" i="2"/>
  <c r="O26" i="2" s="1"/>
  <c r="H2" i="2"/>
  <c r="O2" i="2" s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O3" i="2"/>
  <c r="O4" i="2"/>
  <c r="O7" i="2"/>
  <c r="O8" i="2"/>
  <c r="O11" i="2"/>
  <c r="O12" i="2"/>
  <c r="O15" i="2"/>
  <c r="O16" i="2"/>
  <c r="O19" i="2"/>
  <c r="O20" i="2"/>
  <c r="O23" i="2"/>
  <c r="O24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" i="2"/>
  <c r="F3" i="2"/>
  <c r="F4" i="2"/>
  <c r="F5" i="2"/>
  <c r="F6" i="2"/>
  <c r="F8" i="2"/>
  <c r="F2" i="2"/>
  <c r="D28" i="2"/>
  <c r="C28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" i="2"/>
  <c r="P5" i="1"/>
  <c r="O5" i="1"/>
  <c r="B15" i="1"/>
  <c r="B16" i="1" s="1"/>
  <c r="M7" i="1"/>
  <c r="M6" i="1"/>
  <c r="B10" i="1"/>
  <c r="O7" i="1" l="1"/>
  <c r="P7" i="1"/>
  <c r="F9" i="2"/>
  <c r="F7" i="2"/>
  <c r="F11" i="2"/>
  <c r="F14" i="2" l="1"/>
  <c r="F12" i="2"/>
  <c r="F10" i="2"/>
  <c r="F15" i="2" l="1"/>
  <c r="F13" i="2"/>
  <c r="F17" i="2"/>
  <c r="F18" i="2" l="1"/>
  <c r="F20" i="2"/>
  <c r="F16" i="2"/>
  <c r="F23" i="2" l="1"/>
  <c r="F19" i="2"/>
  <c r="F21" i="2"/>
  <c r="F26" i="2" l="1"/>
  <c r="F22" i="2"/>
  <c r="F24" i="2"/>
  <c r="F25" i="2" l="1"/>
</calcChain>
</file>

<file path=xl/sharedStrings.xml><?xml version="1.0" encoding="utf-8"?>
<sst xmlns="http://schemas.openxmlformats.org/spreadsheetml/2006/main" count="76" uniqueCount="53">
  <si>
    <t xml:space="preserve">redukovaná délka </t>
  </si>
  <si>
    <t>l [cm]</t>
  </si>
  <si>
    <t>poloha závaží</t>
  </si>
  <si>
    <t>h [cm]</t>
  </si>
  <si>
    <t>půlperioda</t>
  </si>
  <si>
    <t>dole</t>
  </si>
  <si>
    <t>nahoře</t>
  </si>
  <si>
    <t>T_1/2 [s]</t>
  </si>
  <si>
    <t>T_2/2 [s]</t>
  </si>
  <si>
    <t>výsledná perioda</t>
  </si>
  <si>
    <t>T_1/2  [s]</t>
  </si>
  <si>
    <t>nejistoty</t>
  </si>
  <si>
    <t>relativni</t>
  </si>
  <si>
    <t>absolutni</t>
  </si>
  <si>
    <t>prumer</t>
  </si>
  <si>
    <t>Dole</t>
  </si>
  <si>
    <t>Nahoře</t>
  </si>
  <si>
    <t>T/2 [s]</t>
  </si>
  <si>
    <t>g [s]</t>
  </si>
  <si>
    <t>čas [m]</t>
  </si>
  <si>
    <t>čas [s]</t>
  </si>
  <si>
    <t>1. poloha</t>
  </si>
  <si>
    <t>2. poloha</t>
  </si>
  <si>
    <t>stred</t>
  </si>
  <si>
    <t>vzdálenost</t>
  </si>
  <si>
    <t>Použité přístroje</t>
  </si>
  <si>
    <t>svinovací metr</t>
  </si>
  <si>
    <t>Přístroj</t>
  </si>
  <si>
    <t>Rozsah</t>
  </si>
  <si>
    <t>Nejistota</t>
  </si>
  <si>
    <t>Měřená veličina</t>
  </si>
  <si>
    <t>čas</t>
  </si>
  <si>
    <t>optická závora</t>
  </si>
  <si>
    <t>-</t>
  </si>
  <si>
    <t>školní pravítko</t>
  </si>
  <si>
    <t>30 cm</t>
  </si>
  <si>
    <t>5 m</t>
  </si>
  <si>
    <t>0.03 cm</t>
  </si>
  <si>
    <t>stopky</t>
  </si>
  <si>
    <t>fi_1</t>
  </si>
  <si>
    <t>fi_2</t>
  </si>
  <si>
    <t>fi_3</t>
  </si>
  <si>
    <t>1. měření</t>
  </si>
  <si>
    <t>2. měření</t>
  </si>
  <si>
    <t>fi_0</t>
  </si>
  <si>
    <t>direkční moment</t>
  </si>
  <si>
    <t>perioda</t>
  </si>
  <si>
    <t>l [mm]</t>
  </si>
  <si>
    <t>M [kg]</t>
  </si>
  <si>
    <t>m [kg]</t>
  </si>
  <si>
    <t>ro [m]</t>
  </si>
  <si>
    <t>2d [m]</t>
  </si>
  <si>
    <t>r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</si>
</sst>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"/>
    <numFmt numFmtId="166" formatCode="0.0000"/>
    <numFmt numFmtId="167" formatCode="0.0"/>
    <numFmt numFmtId="169" formatCode="0.000000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11" fontId="0" fillId="0" borderId="0" xfId="0" applyNumberFormat="1"/>
    <xf numFmtId="165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6" fontId="0" fillId="0" borderId="1" xfId="0" applyNumberFormat="1" applyBorder="1"/>
    <xf numFmtId="11" fontId="0" fillId="0" borderId="1" xfId="0" applyNumberFormat="1" applyBorder="1"/>
    <xf numFmtId="11" fontId="0" fillId="0" borderId="1" xfId="0" applyNumberFormat="1" applyFill="1" applyBorder="1" applyAlignment="1">
      <alignment horizontal="center"/>
    </xf>
    <xf numFmtId="167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0" fillId="0" borderId="2" xfId="0" applyFill="1" applyBorder="1"/>
    <xf numFmtId="166" fontId="0" fillId="2" borderId="0" xfId="0" applyNumberFormat="1" applyFill="1"/>
    <xf numFmtId="166" fontId="0" fillId="3" borderId="0" xfId="0" applyNumberFormat="1" applyFill="1"/>
    <xf numFmtId="166" fontId="0" fillId="4" borderId="0" xfId="0" applyNumberFormat="1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/>
    <xf numFmtId="0" fontId="0" fillId="2" borderId="0" xfId="0" applyFill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K15" sqref="K15"/>
    </sheetView>
  </sheetViews>
  <sheetFormatPr defaultRowHeight="14.4" x14ac:dyDescent="0.3"/>
  <cols>
    <col min="2" max="2" width="16.6640625" customWidth="1"/>
    <col min="4" max="4" width="12.5546875" customWidth="1"/>
  </cols>
  <sheetData>
    <row r="1" spans="1:16" x14ac:dyDescent="0.3">
      <c r="E1" s="19" t="s">
        <v>4</v>
      </c>
      <c r="F1" s="19"/>
      <c r="G1" s="2"/>
      <c r="H1" s="18" t="s">
        <v>11</v>
      </c>
      <c r="I1" s="18"/>
      <c r="O1" s="18" t="s">
        <v>11</v>
      </c>
      <c r="P1" s="18"/>
    </row>
    <row r="2" spans="1:16" x14ac:dyDescent="0.3">
      <c r="D2" s="5" t="s">
        <v>2</v>
      </c>
      <c r="E2" s="5" t="s">
        <v>5</v>
      </c>
      <c r="F2" s="5" t="s">
        <v>6</v>
      </c>
      <c r="G2" s="2"/>
      <c r="H2" s="5" t="s">
        <v>5</v>
      </c>
      <c r="I2" s="5" t="s">
        <v>6</v>
      </c>
      <c r="K2" s="18" t="s">
        <v>9</v>
      </c>
      <c r="L2" s="18"/>
      <c r="M2" s="18"/>
      <c r="O2" s="5" t="s">
        <v>5</v>
      </c>
      <c r="P2" s="5" t="s">
        <v>6</v>
      </c>
    </row>
    <row r="3" spans="1:16" x14ac:dyDescent="0.3">
      <c r="B3" s="1" t="s">
        <v>0</v>
      </c>
      <c r="D3" s="5" t="s">
        <v>3</v>
      </c>
      <c r="E3" s="5" t="s">
        <v>7</v>
      </c>
      <c r="F3" s="5" t="s">
        <v>8</v>
      </c>
      <c r="G3" s="2"/>
      <c r="H3" s="5" t="s">
        <v>7</v>
      </c>
      <c r="I3" s="5" t="s">
        <v>8</v>
      </c>
      <c r="K3" s="1" t="s">
        <v>3</v>
      </c>
      <c r="L3" s="1" t="s">
        <v>10</v>
      </c>
      <c r="M3" s="1" t="s">
        <v>8</v>
      </c>
      <c r="O3" s="5" t="s">
        <v>7</v>
      </c>
      <c r="P3" s="5" t="s">
        <v>8</v>
      </c>
    </row>
    <row r="4" spans="1:16" x14ac:dyDescent="0.3">
      <c r="B4" s="1" t="s">
        <v>1</v>
      </c>
      <c r="D4" s="5">
        <v>0</v>
      </c>
      <c r="E4" s="6">
        <v>0.98226000000000002</v>
      </c>
      <c r="F4" s="6">
        <v>0.93150999999999995</v>
      </c>
      <c r="G4" s="2"/>
      <c r="H4" s="10">
        <v>4.6099999999999999E-6</v>
      </c>
      <c r="I4" s="9">
        <v>3.1700000000000001E-6</v>
      </c>
      <c r="K4" s="7">
        <v>4.1500000000000004</v>
      </c>
      <c r="L4" s="7">
        <v>0.99887999999999999</v>
      </c>
      <c r="M4" s="7">
        <v>0.99883999999999995</v>
      </c>
      <c r="O4" s="9">
        <v>1.9999999999999999E-6</v>
      </c>
      <c r="P4" s="9">
        <v>4.7200000000000002E-5</v>
      </c>
    </row>
    <row r="5" spans="1:16" x14ac:dyDescent="0.3">
      <c r="B5" s="1">
        <v>99.5</v>
      </c>
      <c r="D5" s="5">
        <v>1</v>
      </c>
      <c r="E5" s="6">
        <v>0.98624000000000001</v>
      </c>
      <c r="F5" s="6">
        <v>0.94657000000000002</v>
      </c>
      <c r="G5" s="2"/>
      <c r="H5" s="10">
        <v>1.9300000000000002E-6</v>
      </c>
      <c r="I5" s="9">
        <v>1.7E-6</v>
      </c>
      <c r="K5" s="1"/>
      <c r="L5" s="1" t="s">
        <v>17</v>
      </c>
      <c r="M5" s="1" t="s">
        <v>18</v>
      </c>
      <c r="N5" t="s">
        <v>12</v>
      </c>
      <c r="O5" s="3">
        <f>O4/L4</f>
        <v>2.0022425116130064E-6</v>
      </c>
      <c r="P5" s="3">
        <f>P4/M4</f>
        <v>4.7254815586079858E-5</v>
      </c>
    </row>
    <row r="6" spans="1:16" x14ac:dyDescent="0.3">
      <c r="B6" s="1">
        <v>99.4</v>
      </c>
      <c r="D6" s="5">
        <v>2</v>
      </c>
      <c r="E6" s="6">
        <v>0.99009000000000003</v>
      </c>
      <c r="F6" s="6">
        <v>0.96221000000000001</v>
      </c>
      <c r="G6" s="2"/>
      <c r="H6" s="10">
        <v>2.48E-6</v>
      </c>
      <c r="I6" s="9">
        <v>2.7700000000000002E-6</v>
      </c>
      <c r="K6" s="1" t="s">
        <v>15</v>
      </c>
      <c r="L6" s="7">
        <v>0.99887999999999999</v>
      </c>
      <c r="M6" s="8">
        <f>4*PI()^2*B10/100/(2*L6)^2</f>
        <v>9.8403124143238845</v>
      </c>
      <c r="O6">
        <f>(4*O5^2 + C12^2)^0.5</f>
        <v>2.2727952867116056E-3</v>
      </c>
      <c r="P6">
        <f>(4*P5^2 + C12^2)^0.5</f>
        <v>2.274755909934621E-3</v>
      </c>
    </row>
    <row r="7" spans="1:16" x14ac:dyDescent="0.3">
      <c r="B7" s="1">
        <v>99.4</v>
      </c>
      <c r="D7" s="5">
        <v>3</v>
      </c>
      <c r="E7" s="6">
        <v>0.99412999999999996</v>
      </c>
      <c r="F7" s="6">
        <v>0.97872000000000003</v>
      </c>
      <c r="G7" s="2"/>
      <c r="H7" s="10">
        <v>1.64E-6</v>
      </c>
      <c r="I7" s="9">
        <v>1.73E-6</v>
      </c>
      <c r="K7" s="1" t="s">
        <v>16</v>
      </c>
      <c r="L7" s="7">
        <v>0.99883999999999995</v>
      </c>
      <c r="M7" s="8">
        <f>4*PI()^2*B10/100/(2*L7)^2</f>
        <v>9.8411005693396341</v>
      </c>
      <c r="O7">
        <f>M6*O6</f>
        <v>2.2365015675045025E-2</v>
      </c>
      <c r="P7">
        <f>M7*P6</f>
        <v>2.2386101680366297E-2</v>
      </c>
    </row>
    <row r="8" spans="1:16" x14ac:dyDescent="0.3">
      <c r="B8" s="1">
        <v>99.5</v>
      </c>
      <c r="D8" s="5">
        <v>4</v>
      </c>
      <c r="E8" s="6">
        <v>0.99824999999999997</v>
      </c>
      <c r="F8" s="6">
        <v>0.99585999999999997</v>
      </c>
      <c r="G8" s="2"/>
      <c r="H8" s="10">
        <v>7.1799999999999999E-6</v>
      </c>
      <c r="I8" s="9">
        <v>3.98E-6</v>
      </c>
    </row>
    <row r="9" spans="1:16" x14ac:dyDescent="0.3">
      <c r="B9" s="1">
        <v>99.6</v>
      </c>
      <c r="D9" s="5">
        <v>5</v>
      </c>
      <c r="E9" s="6">
        <v>1.0021</v>
      </c>
      <c r="F9" s="6">
        <v>1.0156000000000001</v>
      </c>
      <c r="G9" s="2"/>
      <c r="H9" s="10">
        <v>2.7999999999999999E-6</v>
      </c>
      <c r="I9" s="9">
        <v>3.2100000000000002E-6</v>
      </c>
    </row>
    <row r="10" spans="1:16" x14ac:dyDescent="0.3">
      <c r="A10" t="s">
        <v>14</v>
      </c>
      <c r="B10">
        <f>SUM(B5:B9)/5</f>
        <v>99.47999999999999</v>
      </c>
      <c r="D10" s="5">
        <v>6</v>
      </c>
      <c r="E10" s="6">
        <v>1.0062</v>
      </c>
      <c r="F10" s="6">
        <v>1.0350999999999999</v>
      </c>
      <c r="G10" s="2"/>
      <c r="H10" s="10">
        <v>6.8000000000000001E-6</v>
      </c>
      <c r="I10" s="9">
        <v>2.9500000000000001E-6</v>
      </c>
    </row>
    <row r="11" spans="1:16" x14ac:dyDescent="0.3">
      <c r="A11" t="s">
        <v>13</v>
      </c>
      <c r="B11" s="4">
        <f>_xlfn.STDEV.P(B5:B9)/5^(0.5)</f>
        <v>3.3466401061361117E-2</v>
      </c>
      <c r="C11">
        <f>(B11^2+B14^2)^(0.5)</f>
        <v>0.22609732417700096</v>
      </c>
      <c r="D11" s="5">
        <v>7</v>
      </c>
      <c r="E11" s="6">
        <v>1.0104</v>
      </c>
      <c r="F11" s="6">
        <v>1.0581</v>
      </c>
      <c r="G11" s="2"/>
      <c r="H11" s="10">
        <v>2.0600000000000002E-6</v>
      </c>
      <c r="I11" s="9">
        <v>3.3500000000000001E-6</v>
      </c>
    </row>
    <row r="12" spans="1:16" x14ac:dyDescent="0.3">
      <c r="A12" t="s">
        <v>12</v>
      </c>
      <c r="B12" s="4">
        <f>B11/B10</f>
        <v>3.3641336008605871E-4</v>
      </c>
      <c r="C12">
        <f>C11/B10</f>
        <v>2.2727917589163748E-3</v>
      </c>
    </row>
    <row r="14" spans="1:16" x14ac:dyDescent="0.3">
      <c r="B14">
        <f>0.5/(5)^0.5</f>
        <v>0.22360679774997896</v>
      </c>
    </row>
    <row r="15" spans="1:16" x14ac:dyDescent="0.3">
      <c r="B15">
        <f>(B14^2 + B11^2)^0.5</f>
        <v>0.22609732417700096</v>
      </c>
      <c r="E15" t="s">
        <v>25</v>
      </c>
    </row>
    <row r="16" spans="1:16" x14ac:dyDescent="0.3">
      <c r="A16" t="s">
        <v>12</v>
      </c>
      <c r="B16">
        <f>B15/B10</f>
        <v>2.2727917589163748E-3</v>
      </c>
      <c r="E16" s="1" t="s">
        <v>30</v>
      </c>
      <c r="F16" s="1" t="s">
        <v>27</v>
      </c>
      <c r="G16" s="1" t="s">
        <v>28</v>
      </c>
      <c r="H16" s="1" t="s">
        <v>29</v>
      </c>
    </row>
    <row r="17" spans="5:8" x14ac:dyDescent="0.3">
      <c r="E17" s="1" t="s">
        <v>24</v>
      </c>
      <c r="F17" s="1" t="s">
        <v>26</v>
      </c>
      <c r="G17" s="1" t="s">
        <v>36</v>
      </c>
      <c r="H17" s="1" t="s">
        <v>37</v>
      </c>
    </row>
    <row r="18" spans="5:8" x14ac:dyDescent="0.3">
      <c r="E18" s="1" t="s">
        <v>24</v>
      </c>
      <c r="F18" s="1" t="s">
        <v>34</v>
      </c>
      <c r="G18" s="1" t="s">
        <v>35</v>
      </c>
      <c r="H18" s="1" t="s">
        <v>37</v>
      </c>
    </row>
    <row r="19" spans="5:8" x14ac:dyDescent="0.3">
      <c r="E19" s="1" t="s">
        <v>31</v>
      </c>
      <c r="F19" s="1" t="s">
        <v>32</v>
      </c>
      <c r="G19" s="1" t="s">
        <v>33</v>
      </c>
      <c r="H19" s="1" t="s">
        <v>33</v>
      </c>
    </row>
    <row r="20" spans="5:8" x14ac:dyDescent="0.3">
      <c r="E20" s="1" t="s">
        <v>31</v>
      </c>
      <c r="F20" s="1" t="s">
        <v>38</v>
      </c>
      <c r="G20" s="1" t="s">
        <v>33</v>
      </c>
      <c r="H20" s="1" t="s">
        <v>33</v>
      </c>
    </row>
  </sheetData>
  <mergeCells count="4">
    <mergeCell ref="H1:I1"/>
    <mergeCell ref="E1:F1"/>
    <mergeCell ref="O1:P1"/>
    <mergeCell ref="K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tabSelected="1" topLeftCell="O19" workbookViewId="0">
      <selection activeCell="U33" sqref="U33"/>
    </sheetView>
  </sheetViews>
  <sheetFormatPr defaultRowHeight="14.4" x14ac:dyDescent="0.3"/>
  <cols>
    <col min="6" max="6" width="14.5546875" bestFit="1" customWidth="1"/>
    <col min="21" max="21" width="12" bestFit="1" customWidth="1"/>
    <col min="22" max="22" width="11" bestFit="1" customWidth="1"/>
    <col min="24" max="24" width="9.44140625" bestFit="1" customWidth="1"/>
  </cols>
  <sheetData>
    <row r="1" spans="1:26" x14ac:dyDescent="0.3">
      <c r="A1" t="s">
        <v>19</v>
      </c>
      <c r="B1" t="s">
        <v>20</v>
      </c>
      <c r="C1" t="s">
        <v>22</v>
      </c>
      <c r="D1" t="s">
        <v>21</v>
      </c>
      <c r="F1" t="s">
        <v>22</v>
      </c>
      <c r="G1" t="s">
        <v>21</v>
      </c>
      <c r="L1" t="s">
        <v>24</v>
      </c>
    </row>
    <row r="2" spans="1:26" x14ac:dyDescent="0.3">
      <c r="B2">
        <f t="shared" ref="B2:B26" si="0">N2*60</f>
        <v>30</v>
      </c>
      <c r="C2" s="11">
        <v>29.9</v>
      </c>
      <c r="D2" s="11">
        <v>19</v>
      </c>
      <c r="F2" s="11">
        <f>C2-C28</f>
        <v>7.3000000000000007</v>
      </c>
      <c r="G2" s="11">
        <f>D2-D28</f>
        <v>-7.3249999999999993</v>
      </c>
      <c r="H2" s="13">
        <f>ATAN(F2/L2)</f>
        <v>3.4258891277979014E-2</v>
      </c>
      <c r="J2" s="13">
        <f>ATAN(G2/L2)</f>
        <v>-3.4376123997435337E-2</v>
      </c>
      <c r="L2">
        <v>213</v>
      </c>
      <c r="N2" s="12">
        <v>0.5</v>
      </c>
      <c r="O2" s="12">
        <f t="shared" ref="O2:O26" si="1">H2*180/PI()</f>
        <v>1.9628898810257447</v>
      </c>
      <c r="P2" s="12">
        <f t="shared" ref="P2:P20" si="2">J2*180/PI()</f>
        <v>-1.9696068210714333</v>
      </c>
      <c r="Q2">
        <f>O2*H31</f>
        <v>2.6602699558680895E-4</v>
      </c>
      <c r="R2">
        <f>ABS(Q2)</f>
        <v>2.6602699558680895E-4</v>
      </c>
      <c r="S2" s="12">
        <f>O16-P12</f>
        <v>0.19446969093492195</v>
      </c>
    </row>
    <row r="3" spans="1:26" x14ac:dyDescent="0.3">
      <c r="B3">
        <f t="shared" si="0"/>
        <v>60</v>
      </c>
      <c r="C3" s="11">
        <v>25</v>
      </c>
      <c r="D3" s="11">
        <v>14.7</v>
      </c>
      <c r="F3" s="11">
        <f t="shared" ref="F3:F26" si="3">C3-C29</f>
        <v>2.3999999999999986</v>
      </c>
      <c r="G3" s="11">
        <f t="shared" ref="G3:G20" si="4">D3-D29</f>
        <v>-11.625</v>
      </c>
      <c r="H3" s="13">
        <f t="shared" ref="H3:H26" si="5">ATAN(F3/L3)</f>
        <v>1.126712882904618E-2</v>
      </c>
      <c r="J3" s="13">
        <f t="shared" ref="J3:J20" si="6">ATAN(G3/L3)</f>
        <v>-5.4523371473861132E-2</v>
      </c>
      <c r="L3">
        <v>213</v>
      </c>
      <c r="N3" s="12">
        <v>1</v>
      </c>
      <c r="O3" s="12">
        <f t="shared" si="1"/>
        <v>0.6455589291345234</v>
      </c>
      <c r="P3" s="12">
        <f t="shared" si="2"/>
        <v>-3.1239590702762299</v>
      </c>
      <c r="Q3">
        <f t="shared" ref="Q3:Q26" si="7">O3*H32</f>
        <v>8.7796014362295178E-5</v>
      </c>
      <c r="R3">
        <f t="shared" ref="R3:R26" si="8">ABS(Q3)</f>
        <v>8.7796014362295178E-5</v>
      </c>
    </row>
    <row r="4" spans="1:26" x14ac:dyDescent="0.3">
      <c r="B4">
        <f t="shared" si="0"/>
        <v>90</v>
      </c>
      <c r="C4" s="11">
        <v>19.8</v>
      </c>
      <c r="D4" s="11">
        <v>14.5</v>
      </c>
      <c r="F4" s="11">
        <f t="shared" si="3"/>
        <v>-2.8000000000000007</v>
      </c>
      <c r="G4" s="11">
        <f t="shared" si="4"/>
        <v>-11.824999999999999</v>
      </c>
      <c r="H4" s="13">
        <f t="shared" si="5"/>
        <v>-1.3144782778633783E-2</v>
      </c>
      <c r="J4" s="13">
        <f t="shared" si="6"/>
        <v>-5.5459501910951489E-2</v>
      </c>
      <c r="L4">
        <v>213</v>
      </c>
      <c r="N4" s="12">
        <v>1.5</v>
      </c>
      <c r="O4" s="12">
        <f t="shared" si="1"/>
        <v>-0.75314057583196292</v>
      </c>
      <c r="P4" s="15">
        <f t="shared" si="2"/>
        <v>-3.1775953933952445</v>
      </c>
      <c r="Q4">
        <f t="shared" si="7"/>
        <v>-1.0242711831314696E-4</v>
      </c>
      <c r="R4">
        <f t="shared" si="8"/>
        <v>1.0242711831314696E-4</v>
      </c>
      <c r="T4">
        <f>((0.02*U7)^2+(0.02*V7)^2+(0.02*W7)^2)^0.5</f>
        <v>0.10237956128008795</v>
      </c>
      <c r="U4">
        <f>2^0.5*T4</f>
        <v>0.14478656407210777</v>
      </c>
    </row>
    <row r="5" spans="1:26" x14ac:dyDescent="0.3">
      <c r="B5">
        <f t="shared" si="0"/>
        <v>120</v>
      </c>
      <c r="C5" s="11">
        <v>15.3</v>
      </c>
      <c r="D5" s="11">
        <v>16.3</v>
      </c>
      <c r="F5" s="11">
        <f t="shared" si="3"/>
        <v>-7.3000000000000007</v>
      </c>
      <c r="G5" s="11">
        <f t="shared" si="4"/>
        <v>-10.024999999999999</v>
      </c>
      <c r="H5" s="13">
        <f t="shared" si="5"/>
        <v>-3.4258891277979014E-2</v>
      </c>
      <c r="J5" s="13">
        <f t="shared" si="6"/>
        <v>-4.7031020754904208E-2</v>
      </c>
      <c r="L5">
        <v>213</v>
      </c>
      <c r="N5" s="12">
        <v>2</v>
      </c>
      <c r="O5" s="12">
        <f t="shared" si="1"/>
        <v>-1.9628898810257447</v>
      </c>
      <c r="P5" s="12">
        <f t="shared" si="2"/>
        <v>-2.6946789954481902</v>
      </c>
      <c r="Q5">
        <f t="shared" si="7"/>
        <v>-2.6695302381950128E-4</v>
      </c>
      <c r="R5">
        <f t="shared" si="8"/>
        <v>2.6695302381950128E-4</v>
      </c>
    </row>
    <row r="6" spans="1:26" x14ac:dyDescent="0.3">
      <c r="B6">
        <f t="shared" si="0"/>
        <v>150</v>
      </c>
      <c r="C6" s="11">
        <v>12.1</v>
      </c>
      <c r="D6" s="11">
        <v>19.2</v>
      </c>
      <c r="F6" s="11">
        <f t="shared" si="3"/>
        <v>-10.500000000000002</v>
      </c>
      <c r="G6" s="11">
        <f t="shared" si="4"/>
        <v>-7.125</v>
      </c>
      <c r="H6" s="13">
        <f t="shared" si="5"/>
        <v>-4.9255901984323634E-2</v>
      </c>
      <c r="J6" s="13">
        <f t="shared" si="6"/>
        <v>-3.3438236044191064E-2</v>
      </c>
      <c r="L6">
        <v>213</v>
      </c>
      <c r="N6" s="12">
        <v>2.5</v>
      </c>
      <c r="O6" s="12">
        <f t="shared" si="1"/>
        <v>-2.8221552998118011</v>
      </c>
      <c r="P6" s="12">
        <f t="shared" si="2"/>
        <v>-1.9158697996943732</v>
      </c>
      <c r="Q6">
        <f t="shared" si="7"/>
        <v>-3.8381312077440496E-4</v>
      </c>
      <c r="R6">
        <f t="shared" si="8"/>
        <v>3.8381312077440496E-4</v>
      </c>
      <c r="T6" s="1"/>
      <c r="U6" s="1" t="s">
        <v>39</v>
      </c>
      <c r="V6" s="1" t="s">
        <v>40</v>
      </c>
      <c r="W6" s="1" t="s">
        <v>41</v>
      </c>
      <c r="X6" s="14" t="s">
        <v>44</v>
      </c>
    </row>
    <row r="7" spans="1:26" x14ac:dyDescent="0.3">
      <c r="B7">
        <f t="shared" si="0"/>
        <v>180</v>
      </c>
      <c r="C7" s="11">
        <v>10.3</v>
      </c>
      <c r="D7" s="11">
        <v>23.1</v>
      </c>
      <c r="F7" s="11">
        <f t="shared" si="3"/>
        <v>-12.3</v>
      </c>
      <c r="G7" s="11">
        <f t="shared" si="4"/>
        <v>-3.2249999999999979</v>
      </c>
      <c r="H7" s="13">
        <f t="shared" si="5"/>
        <v>-5.7682418784821013E-2</v>
      </c>
      <c r="J7" s="13">
        <f t="shared" si="6"/>
        <v>-1.5139688240904736E-2</v>
      </c>
      <c r="L7">
        <v>213</v>
      </c>
      <c r="N7" s="12">
        <v>3</v>
      </c>
      <c r="O7" s="12">
        <f t="shared" si="1"/>
        <v>-3.3049591484763825</v>
      </c>
      <c r="P7" s="12">
        <f t="shared" si="2"/>
        <v>-0.86744023934768288</v>
      </c>
      <c r="Q7">
        <f t="shared" si="7"/>
        <v>-4.4947444419278802E-4</v>
      </c>
      <c r="R7">
        <f t="shared" si="8"/>
        <v>4.4947444419278802E-4</v>
      </c>
      <c r="T7" s="1" t="s">
        <v>42</v>
      </c>
      <c r="U7" s="8">
        <f>MIN(P2:P15)</f>
        <v>-3.1775953933952445</v>
      </c>
      <c r="V7" s="8">
        <f>MAX(P2:P20)</f>
        <v>2.9496036478544729</v>
      </c>
      <c r="W7" s="8">
        <f>MIN(P11:P20)</f>
        <v>-2.7215183732973611</v>
      </c>
      <c r="X7" s="20">
        <f>(((U7)+(W7))/2+V7)/2</f>
        <v>2.3382254084935994E-5</v>
      </c>
      <c r="Y7">
        <f>U4/X7</f>
        <v>6192.1559634999621</v>
      </c>
      <c r="Z7">
        <v>1.5E-3</v>
      </c>
    </row>
    <row r="8" spans="1:26" x14ac:dyDescent="0.3">
      <c r="B8">
        <f t="shared" si="0"/>
        <v>210</v>
      </c>
      <c r="C8" s="11">
        <v>10.199999999999999</v>
      </c>
      <c r="D8" s="11">
        <v>27.5</v>
      </c>
      <c r="F8" s="11">
        <f t="shared" si="3"/>
        <v>-12.400000000000002</v>
      </c>
      <c r="G8" s="11">
        <f t="shared" si="4"/>
        <v>1.1750000000000007</v>
      </c>
      <c r="H8" s="13">
        <f t="shared" si="5"/>
        <v>-5.8150329312534596E-2</v>
      </c>
      <c r="J8" s="13">
        <f t="shared" si="6"/>
        <v>5.5163759690187207E-3</v>
      </c>
      <c r="L8">
        <v>213</v>
      </c>
      <c r="N8" s="12">
        <v>3.5</v>
      </c>
      <c r="O8" s="15">
        <f t="shared" si="1"/>
        <v>-3.3317684469041104</v>
      </c>
      <c r="P8" s="12">
        <f t="shared" si="2"/>
        <v>0.31606506123216249</v>
      </c>
      <c r="Q8">
        <f t="shared" si="7"/>
        <v>-4.5312050877895901E-4</v>
      </c>
      <c r="R8">
        <f t="shared" si="8"/>
        <v>4.5312050877895901E-4</v>
      </c>
      <c r="T8" s="1" t="s">
        <v>43</v>
      </c>
      <c r="U8" s="8">
        <f>MIN(O2:O15)</f>
        <v>-3.3317684469041104</v>
      </c>
      <c r="V8" s="8">
        <f>MAX(O2:O26)</f>
        <v>3.1440733387893949</v>
      </c>
      <c r="W8" s="8">
        <f>MIN(O14:O26)</f>
        <v>-2.9563106575036544</v>
      </c>
      <c r="X8" s="12">
        <f>((ABS(U8)+ABS(W8))/2+V8)/2</f>
        <v>3.1440564454966387</v>
      </c>
      <c r="Y8">
        <f>U4/X8</f>
        <v>4.6050879359844678E-2</v>
      </c>
      <c r="Z8">
        <v>1.5E-3</v>
      </c>
    </row>
    <row r="9" spans="1:26" x14ac:dyDescent="0.3">
      <c r="B9">
        <f t="shared" si="0"/>
        <v>240</v>
      </c>
      <c r="C9" s="11">
        <v>11.8</v>
      </c>
      <c r="D9" s="11">
        <v>31.6</v>
      </c>
      <c r="F9" s="11">
        <f t="shared" si="3"/>
        <v>-10.8</v>
      </c>
      <c r="G9" s="11">
        <f t="shared" si="4"/>
        <v>5.2750000000000021</v>
      </c>
      <c r="H9" s="13">
        <f t="shared" si="5"/>
        <v>-5.0660840113291424E-2</v>
      </c>
      <c r="J9" s="13">
        <f t="shared" si="6"/>
        <v>2.4760197085282293E-2</v>
      </c>
      <c r="L9">
        <v>213</v>
      </c>
      <c r="N9" s="12">
        <v>4</v>
      </c>
      <c r="O9" s="12">
        <f t="shared" si="1"/>
        <v>-2.9026523250786616</v>
      </c>
      <c r="P9" s="12">
        <f t="shared" si="2"/>
        <v>1.4186547928987978</v>
      </c>
      <c r="Q9">
        <f t="shared" si="7"/>
        <v>-3.9476071621069798E-4</v>
      </c>
      <c r="R9">
        <f t="shared" si="8"/>
        <v>3.9476071621069798E-4</v>
      </c>
      <c r="X9" s="12">
        <f>X8-X7</f>
        <v>3.1440330632425537</v>
      </c>
      <c r="Y9">
        <f>(Y7^2+Y8^2)^0.5</f>
        <v>6192.1559636712018</v>
      </c>
      <c r="Z9">
        <f>(Z7^2+Z8^2)^0.5</f>
        <v>2.1213203435596424E-3</v>
      </c>
    </row>
    <row r="10" spans="1:26" x14ac:dyDescent="0.3">
      <c r="B10">
        <f t="shared" si="0"/>
        <v>270</v>
      </c>
      <c r="C10" s="11">
        <v>14.5</v>
      </c>
      <c r="D10" s="11">
        <v>34.799999999999997</v>
      </c>
      <c r="F10" s="11">
        <f t="shared" si="3"/>
        <v>-8.1000000000000014</v>
      </c>
      <c r="G10" s="11">
        <f t="shared" si="4"/>
        <v>8.4749999999999979</v>
      </c>
      <c r="H10" s="13">
        <f t="shared" si="5"/>
        <v>-3.8009853530646648E-2</v>
      </c>
      <c r="J10" s="13">
        <f t="shared" si="6"/>
        <v>3.9767755229296826E-2</v>
      </c>
      <c r="L10">
        <v>213</v>
      </c>
      <c r="N10" s="12">
        <v>4.5</v>
      </c>
      <c r="O10" s="12">
        <f t="shared" si="1"/>
        <v>-2.1778041872164842</v>
      </c>
      <c r="P10" s="12">
        <f t="shared" si="2"/>
        <v>2.2785245353480175</v>
      </c>
      <c r="Q10">
        <f t="shared" si="7"/>
        <v>-2.9618136946144187E-4</v>
      </c>
      <c r="R10">
        <f t="shared" si="8"/>
        <v>2.9618136946144187E-4</v>
      </c>
      <c r="X10">
        <f>Z9/X9</f>
        <v>6.7471311557132569E-4</v>
      </c>
      <c r="Y10">
        <v>5.1999999999999998E-3</v>
      </c>
    </row>
    <row r="11" spans="1:26" x14ac:dyDescent="0.3">
      <c r="B11">
        <f t="shared" si="0"/>
        <v>300</v>
      </c>
      <c r="C11" s="11">
        <v>18.600000000000001</v>
      </c>
      <c r="D11" s="11">
        <v>36.9</v>
      </c>
      <c r="F11" s="11">
        <f t="shared" si="3"/>
        <v>-4</v>
      </c>
      <c r="G11" s="11">
        <f t="shared" si="4"/>
        <v>10.574999999999999</v>
      </c>
      <c r="H11" s="13">
        <f t="shared" si="5"/>
        <v>-1.8777135592432652E-2</v>
      </c>
      <c r="J11" s="13">
        <f t="shared" si="6"/>
        <v>4.9607154978409403E-2</v>
      </c>
      <c r="L11">
        <v>213</v>
      </c>
      <c r="N11" s="12">
        <v>5</v>
      </c>
      <c r="O11" s="12">
        <f t="shared" si="1"/>
        <v>-1.0758506207912717</v>
      </c>
      <c r="P11" s="12">
        <f t="shared" si="2"/>
        <v>2.8422806139142489</v>
      </c>
      <c r="Q11">
        <f t="shared" si="7"/>
        <v>-1.4631568442761294E-4</v>
      </c>
      <c r="R11">
        <f t="shared" si="8"/>
        <v>1.4631568442761294E-4</v>
      </c>
      <c r="U11" t="s">
        <v>45</v>
      </c>
      <c r="X11" t="s">
        <v>46</v>
      </c>
      <c r="Y11">
        <f>(Y10^2+Y9^2)^0.5</f>
        <v>6192.1559636733855</v>
      </c>
      <c r="Z11">
        <v>6.91</v>
      </c>
    </row>
    <row r="12" spans="1:26" x14ac:dyDescent="0.3">
      <c r="B12">
        <f t="shared" si="0"/>
        <v>330</v>
      </c>
      <c r="C12" s="11">
        <v>22.8</v>
      </c>
      <c r="D12" s="11">
        <v>37.299999999999997</v>
      </c>
      <c r="F12" s="11">
        <f t="shared" si="3"/>
        <v>0.19999999999999929</v>
      </c>
      <c r="G12" s="11">
        <f t="shared" si="4"/>
        <v>10.974999999999998</v>
      </c>
      <c r="H12" s="13">
        <f t="shared" si="5"/>
        <v>9.3896686020068006E-4</v>
      </c>
      <c r="J12" s="13">
        <f t="shared" si="6"/>
        <v>5.148029528389593E-2</v>
      </c>
      <c r="L12">
        <v>213</v>
      </c>
      <c r="N12" s="12">
        <v>5.5</v>
      </c>
      <c r="O12" s="12">
        <f t="shared" si="1"/>
        <v>5.3798838192149354E-2</v>
      </c>
      <c r="P12" s="17">
        <f t="shared" si="2"/>
        <v>2.9496036478544729</v>
      </c>
      <c r="Q12">
        <f t="shared" si="7"/>
        <v>7.3166419941323117E-6</v>
      </c>
      <c r="R12">
        <f t="shared" si="8"/>
        <v>7.3166419941323117E-6</v>
      </c>
      <c r="X12">
        <v>7.5</v>
      </c>
      <c r="Y12">
        <f>X12*60</f>
        <v>450</v>
      </c>
      <c r="Z12">
        <f>Z11*Y11</f>
        <v>42787.797708983097</v>
      </c>
    </row>
    <row r="13" spans="1:26" x14ac:dyDescent="0.3">
      <c r="B13">
        <f t="shared" si="0"/>
        <v>360</v>
      </c>
      <c r="C13" s="11">
        <v>27.5</v>
      </c>
      <c r="D13" s="11">
        <v>36.4</v>
      </c>
      <c r="F13" s="11">
        <f t="shared" si="3"/>
        <v>4.8999999999999986</v>
      </c>
      <c r="G13" s="11">
        <f t="shared" si="4"/>
        <v>10.074999999999999</v>
      </c>
      <c r="H13" s="13">
        <f t="shared" si="5"/>
        <v>2.300063797303506E-2</v>
      </c>
      <c r="J13" s="13">
        <f t="shared" si="6"/>
        <v>4.7265241106038733E-2</v>
      </c>
      <c r="L13">
        <v>213</v>
      </c>
      <c r="N13" s="12">
        <v>6</v>
      </c>
      <c r="O13" s="12">
        <f t="shared" si="1"/>
        <v>1.3178394819632455</v>
      </c>
      <c r="P13" s="12">
        <f t="shared" si="2"/>
        <v>2.7080988330442701</v>
      </c>
      <c r="Q13">
        <f t="shared" si="7"/>
        <v>1.7922616954700138E-4</v>
      </c>
      <c r="R13">
        <f t="shared" si="8"/>
        <v>1.7922616954700138E-4</v>
      </c>
      <c r="X13">
        <v>8.5</v>
      </c>
      <c r="Y13">
        <f>X13*60</f>
        <v>510</v>
      </c>
    </row>
    <row r="14" spans="1:26" x14ac:dyDescent="0.3">
      <c r="B14">
        <f t="shared" si="0"/>
        <v>390</v>
      </c>
      <c r="C14" s="11">
        <v>31.2</v>
      </c>
      <c r="D14" s="11">
        <v>31.1</v>
      </c>
      <c r="F14" s="11">
        <f t="shared" si="3"/>
        <v>8.5999999999999979</v>
      </c>
      <c r="G14" s="11">
        <f t="shared" si="4"/>
        <v>4.7750000000000021</v>
      </c>
      <c r="H14" s="13">
        <f t="shared" si="5"/>
        <v>4.0353668356651995E-2</v>
      </c>
      <c r="J14" s="13">
        <f t="shared" si="6"/>
        <v>2.2414086074193047E-2</v>
      </c>
      <c r="L14">
        <v>213</v>
      </c>
      <c r="N14" s="12">
        <v>6.5</v>
      </c>
      <c r="O14" s="12">
        <f t="shared" si="1"/>
        <v>2.3120948847067795</v>
      </c>
      <c r="P14" s="12">
        <f t="shared" si="2"/>
        <v>1.2842325336942138</v>
      </c>
      <c r="Q14">
        <f t="shared" si="7"/>
        <v>3.1444490432012203E-4</v>
      </c>
      <c r="R14">
        <f t="shared" si="8"/>
        <v>3.1444490432012203E-4</v>
      </c>
    </row>
    <row r="15" spans="1:26" x14ac:dyDescent="0.3">
      <c r="B15">
        <f t="shared" si="0"/>
        <v>420</v>
      </c>
      <c r="C15" s="11">
        <v>33.6</v>
      </c>
      <c r="D15" s="11">
        <v>27.3</v>
      </c>
      <c r="F15" s="11">
        <f t="shared" si="3"/>
        <v>11</v>
      </c>
      <c r="G15" s="11">
        <f t="shared" si="4"/>
        <v>0.97500000000000142</v>
      </c>
      <c r="H15" s="13">
        <f t="shared" si="5"/>
        <v>5.1597354685237171E-2</v>
      </c>
      <c r="J15" s="13">
        <f t="shared" si="6"/>
        <v>4.577432818313837E-3</v>
      </c>
      <c r="L15">
        <v>213</v>
      </c>
      <c r="N15" s="12">
        <v>7</v>
      </c>
      <c r="O15" s="12">
        <f t="shared" si="1"/>
        <v>2.956310657503654</v>
      </c>
      <c r="P15" s="12">
        <f t="shared" si="2"/>
        <v>0.2622675814940566</v>
      </c>
      <c r="Q15">
        <f t="shared" si="7"/>
        <v>4.0205824942049696E-4</v>
      </c>
      <c r="R15">
        <f t="shared" si="8"/>
        <v>4.0205824942049696E-4</v>
      </c>
    </row>
    <row r="16" spans="1:26" x14ac:dyDescent="0.3">
      <c r="B16">
        <f t="shared" si="0"/>
        <v>450</v>
      </c>
      <c r="C16" s="11">
        <v>34.299999999999997</v>
      </c>
      <c r="D16" s="11">
        <v>23.4</v>
      </c>
      <c r="F16" s="11">
        <f t="shared" si="3"/>
        <v>11.699999999999996</v>
      </c>
      <c r="G16" s="11">
        <f t="shared" si="4"/>
        <v>-2.9250000000000007</v>
      </c>
      <c r="H16" s="13">
        <f t="shared" si="5"/>
        <v>5.4874431686046082E-2</v>
      </c>
      <c r="J16" s="13">
        <f t="shared" si="6"/>
        <v>-1.3731531251700763E-2</v>
      </c>
      <c r="L16">
        <v>213</v>
      </c>
      <c r="N16" s="12">
        <v>7.5</v>
      </c>
      <c r="O16" s="17">
        <f t="shared" si="1"/>
        <v>3.1440733387893949</v>
      </c>
      <c r="P16" s="12">
        <f t="shared" si="2"/>
        <v>-0.78675878697444623</v>
      </c>
      <c r="Q16">
        <f t="shared" si="7"/>
        <v>4.2759397407535768E-4</v>
      </c>
      <c r="R16">
        <f t="shared" si="8"/>
        <v>4.2759397407535768E-4</v>
      </c>
    </row>
    <row r="17" spans="1:26" x14ac:dyDescent="0.3">
      <c r="B17">
        <f t="shared" si="0"/>
        <v>480</v>
      </c>
      <c r="C17" s="11">
        <v>33.6</v>
      </c>
      <c r="D17" s="11">
        <v>20</v>
      </c>
      <c r="F17" s="11">
        <f t="shared" si="3"/>
        <v>11</v>
      </c>
      <c r="G17" s="11">
        <f t="shared" si="4"/>
        <v>-6.3249999999999993</v>
      </c>
      <c r="H17" s="13">
        <f t="shared" si="5"/>
        <v>5.1597354685237171E-2</v>
      </c>
      <c r="J17" s="13">
        <f t="shared" si="6"/>
        <v>-2.9686112159241745E-2</v>
      </c>
      <c r="L17">
        <v>213</v>
      </c>
      <c r="N17" s="12">
        <v>8</v>
      </c>
      <c r="O17" s="12">
        <f t="shared" si="1"/>
        <v>2.956310657503654</v>
      </c>
      <c r="P17" s="12">
        <f t="shared" si="2"/>
        <v>-1.7008889368765472</v>
      </c>
      <c r="Q17">
        <f t="shared" si="7"/>
        <v>4.0205824942049696E-4</v>
      </c>
      <c r="R17">
        <f t="shared" si="8"/>
        <v>4.0205824942049696E-4</v>
      </c>
    </row>
    <row r="18" spans="1:26" x14ac:dyDescent="0.3">
      <c r="B18">
        <f t="shared" si="0"/>
        <v>510</v>
      </c>
      <c r="C18" s="11">
        <v>31.5</v>
      </c>
      <c r="D18" s="11">
        <v>17.3</v>
      </c>
      <c r="F18" s="11">
        <f t="shared" si="3"/>
        <v>8.8999999999999986</v>
      </c>
      <c r="G18" s="11">
        <f t="shared" si="4"/>
        <v>-9.0249999999999986</v>
      </c>
      <c r="H18" s="13">
        <f t="shared" si="5"/>
        <v>4.175974600230737E-2</v>
      </c>
      <c r="J18" s="13">
        <f t="shared" si="6"/>
        <v>-4.2345563248631805E-2</v>
      </c>
      <c r="L18">
        <v>213</v>
      </c>
      <c r="N18" s="12">
        <v>8.5</v>
      </c>
      <c r="O18" s="12">
        <f t="shared" si="1"/>
        <v>2.3926571994705239</v>
      </c>
      <c r="P18" s="12">
        <f t="shared" si="2"/>
        <v>-2.4262220552508902</v>
      </c>
      <c r="Q18">
        <f t="shared" si="7"/>
        <v>3.2540137912799127E-4</v>
      </c>
      <c r="R18">
        <f t="shared" si="8"/>
        <v>3.2540137912799127E-4</v>
      </c>
      <c r="U18" t="s">
        <v>52</v>
      </c>
      <c r="V18" t="s">
        <v>51</v>
      </c>
      <c r="W18" t="s">
        <v>48</v>
      </c>
      <c r="X18" t="s">
        <v>49</v>
      </c>
      <c r="Y18" t="s">
        <v>47</v>
      </c>
      <c r="Z18" t="s">
        <v>50</v>
      </c>
    </row>
    <row r="19" spans="1:26" x14ac:dyDescent="0.3">
      <c r="B19">
        <f t="shared" si="0"/>
        <v>540</v>
      </c>
      <c r="C19" s="11">
        <v>28.3</v>
      </c>
      <c r="D19" s="11">
        <v>16.2</v>
      </c>
      <c r="F19" s="11">
        <f t="shared" si="3"/>
        <v>5.6999999999999993</v>
      </c>
      <c r="G19" s="11">
        <f t="shared" si="4"/>
        <v>-10.125</v>
      </c>
      <c r="H19" s="13">
        <f t="shared" si="5"/>
        <v>2.6754178129614586E-2</v>
      </c>
      <c r="J19" s="13">
        <f t="shared" si="6"/>
        <v>-4.7499456267559075E-2</v>
      </c>
      <c r="L19">
        <v>213</v>
      </c>
      <c r="N19" s="12">
        <v>9</v>
      </c>
      <c r="O19" s="12">
        <f t="shared" si="1"/>
        <v>1.5329014911681267</v>
      </c>
      <c r="P19" s="15">
        <f t="shared" si="2"/>
        <v>-2.7215183732973611</v>
      </c>
      <c r="Q19">
        <f t="shared" si="7"/>
        <v>2.0847460279886524E-4</v>
      </c>
      <c r="R19">
        <f t="shared" si="8"/>
        <v>2.0847460279886524E-4</v>
      </c>
      <c r="U19">
        <v>4.65E-2</v>
      </c>
      <c r="V19">
        <v>0.1</v>
      </c>
      <c r="W19">
        <v>1.5</v>
      </c>
      <c r="X19">
        <v>3.8300000000000001E-2</v>
      </c>
      <c r="Y19">
        <v>2.5999999999999999E-2</v>
      </c>
      <c r="Z19">
        <v>8.1899999999999994E-3</v>
      </c>
    </row>
    <row r="20" spans="1:26" x14ac:dyDescent="0.3">
      <c r="B20">
        <f t="shared" si="0"/>
        <v>570</v>
      </c>
      <c r="C20" s="11">
        <v>24.2</v>
      </c>
      <c r="D20" s="11">
        <v>16.600000000000001</v>
      </c>
      <c r="F20" s="11">
        <f t="shared" si="3"/>
        <v>1.5999999999999979</v>
      </c>
      <c r="G20" s="11">
        <f t="shared" si="4"/>
        <v>-9.7249999999999979</v>
      </c>
      <c r="H20" s="13">
        <f t="shared" si="5"/>
        <v>7.5115958077400218E-3</v>
      </c>
      <c r="J20" s="13">
        <f t="shared" si="6"/>
        <v>-4.5625591095927363E-2</v>
      </c>
      <c r="L20">
        <v>213</v>
      </c>
      <c r="N20" s="12">
        <v>9.5</v>
      </c>
      <c r="O20" s="12">
        <f t="shared" si="1"/>
        <v>0.43038273719166581</v>
      </c>
      <c r="P20" s="12">
        <f t="shared" si="2"/>
        <v>-2.6141538075863067</v>
      </c>
      <c r="Q20">
        <f t="shared" si="7"/>
        <v>5.8532052258066548E-5</v>
      </c>
      <c r="R20">
        <f t="shared" si="8"/>
        <v>5.8532052258066548E-5</v>
      </c>
      <c r="X20">
        <v>2.0000000000000001E-4</v>
      </c>
    </row>
    <row r="21" spans="1:26" x14ac:dyDescent="0.3">
      <c r="B21">
        <f t="shared" si="0"/>
        <v>600</v>
      </c>
      <c r="C21" s="11">
        <v>20</v>
      </c>
      <c r="F21" s="11">
        <f t="shared" si="3"/>
        <v>-2.6000000000000014</v>
      </c>
      <c r="G21" s="11"/>
      <c r="H21" s="13">
        <f t="shared" si="5"/>
        <v>-1.2205966562662323E-2</v>
      </c>
      <c r="J21" s="13"/>
      <c r="K21" s="13"/>
      <c r="L21">
        <v>213</v>
      </c>
      <c r="N21" s="12">
        <v>10</v>
      </c>
      <c r="O21" s="12">
        <f t="shared" si="1"/>
        <v>-0.69935036891835589</v>
      </c>
      <c r="P21" s="12"/>
      <c r="Q21">
        <f t="shared" si="7"/>
        <v>-9.5111650172896402E-5</v>
      </c>
      <c r="R21">
        <f t="shared" si="8"/>
        <v>9.5111650172896402E-5</v>
      </c>
      <c r="X21">
        <f>X20/X19</f>
        <v>5.2219321148825066E-3</v>
      </c>
    </row>
    <row r="22" spans="1:26" x14ac:dyDescent="0.3">
      <c r="B22">
        <f t="shared" si="0"/>
        <v>630</v>
      </c>
      <c r="C22" s="11">
        <v>16.3</v>
      </c>
      <c r="F22" s="11">
        <f t="shared" si="3"/>
        <v>-6.3000000000000007</v>
      </c>
      <c r="G22" s="11"/>
      <c r="H22" s="13">
        <f t="shared" si="5"/>
        <v>-2.9568844263913853E-2</v>
      </c>
      <c r="J22" s="13"/>
      <c r="K22" s="13"/>
      <c r="L22">
        <v>213</v>
      </c>
      <c r="N22" s="12">
        <v>10.5</v>
      </c>
      <c r="O22" s="12">
        <f t="shared" si="1"/>
        <v>-1.6941699814018771</v>
      </c>
      <c r="P22" s="12"/>
      <c r="Q22">
        <f t="shared" si="7"/>
        <v>-2.3040711747065529E-4</v>
      </c>
      <c r="R22">
        <f t="shared" si="8"/>
        <v>2.3040711747065529E-4</v>
      </c>
      <c r="U22">
        <f>(X19*(2/5*Z19^2+(V19/2)^2)*(2*PI()/463)^2*Q31)/(V19*W19*X19*(1/U19^2 - U19/(V19^2+U19^2)^(3/2)))</f>
        <v>1.2682930728272101E-10</v>
      </c>
    </row>
    <row r="23" spans="1:26" x14ac:dyDescent="0.3">
      <c r="B23">
        <f t="shared" si="0"/>
        <v>660</v>
      </c>
      <c r="C23" s="11">
        <v>13.2</v>
      </c>
      <c r="F23" s="11">
        <f t="shared" si="3"/>
        <v>-9.4000000000000021</v>
      </c>
      <c r="G23" s="11"/>
      <c r="H23" s="13">
        <f t="shared" si="5"/>
        <v>-4.4102838906043579E-2</v>
      </c>
      <c r="J23" s="13"/>
      <c r="K23" s="13"/>
      <c r="L23">
        <v>213</v>
      </c>
      <c r="N23" s="12">
        <v>11</v>
      </c>
      <c r="O23" s="12">
        <f t="shared" si="1"/>
        <v>-2.5269065338616614</v>
      </c>
      <c r="P23" s="12"/>
      <c r="Q23">
        <f t="shared" si="7"/>
        <v>-3.4365928860518593E-4</v>
      </c>
      <c r="R23">
        <f t="shared" si="8"/>
        <v>3.4365928860518593E-4</v>
      </c>
      <c r="U23">
        <f>U22/2</f>
        <v>6.3414653641360506E-11</v>
      </c>
      <c r="V23">
        <f>U23*U32</f>
        <v>5.1230137633843992E-12</v>
      </c>
    </row>
    <row r="24" spans="1:26" x14ac:dyDescent="0.3">
      <c r="B24">
        <f t="shared" si="0"/>
        <v>690</v>
      </c>
      <c r="C24" s="11">
        <v>11.7</v>
      </c>
      <c r="F24" s="11">
        <f t="shared" si="3"/>
        <v>-10.900000000000002</v>
      </c>
      <c r="G24" s="11"/>
      <c r="H24" s="13">
        <f t="shared" si="5"/>
        <v>-5.1129108619860926E-2</v>
      </c>
      <c r="J24" s="13"/>
      <c r="K24" s="13"/>
      <c r="L24">
        <v>213</v>
      </c>
      <c r="N24" s="12">
        <v>11.5</v>
      </c>
      <c r="O24" s="16">
        <f t="shared" si="1"/>
        <v>-2.9294821341839885</v>
      </c>
      <c r="P24" s="12"/>
      <c r="Q24">
        <f t="shared" si="7"/>
        <v>-3.9840957024902244E-4</v>
      </c>
      <c r="R24">
        <f t="shared" si="8"/>
        <v>3.9840957024902244E-4</v>
      </c>
    </row>
    <row r="25" spans="1:26" x14ac:dyDescent="0.3">
      <c r="B25">
        <f t="shared" si="0"/>
        <v>720</v>
      </c>
      <c r="C25" s="11">
        <v>11.6</v>
      </c>
      <c r="F25" s="11">
        <f t="shared" si="3"/>
        <v>-11.000000000000002</v>
      </c>
      <c r="G25" s="11"/>
      <c r="H25" s="13">
        <f t="shared" si="5"/>
        <v>-5.1597354685237178E-2</v>
      </c>
      <c r="J25" s="13"/>
      <c r="K25" s="13"/>
      <c r="L25">
        <v>213</v>
      </c>
      <c r="N25" s="12">
        <v>12</v>
      </c>
      <c r="O25" s="15">
        <f t="shared" si="1"/>
        <v>-2.9563106575036544</v>
      </c>
      <c r="P25" s="12"/>
      <c r="Q25">
        <f t="shared" si="7"/>
        <v>-4.0205824942049701E-4</v>
      </c>
      <c r="R25">
        <f t="shared" si="8"/>
        <v>4.0205824942049701E-4</v>
      </c>
    </row>
    <row r="26" spans="1:26" x14ac:dyDescent="0.3">
      <c r="B26">
        <f t="shared" si="0"/>
        <v>750</v>
      </c>
      <c r="C26" s="11">
        <v>13</v>
      </c>
      <c r="F26" s="11">
        <f t="shared" si="3"/>
        <v>-9.6000000000000014</v>
      </c>
      <c r="G26" s="11"/>
      <c r="H26" s="13">
        <f t="shared" si="5"/>
        <v>-4.5039941847713962E-2</v>
      </c>
      <c r="J26" s="13"/>
      <c r="K26" s="13"/>
      <c r="L26">
        <v>213</v>
      </c>
      <c r="N26" s="12">
        <v>12.5</v>
      </c>
      <c r="O26" s="12">
        <f t="shared" si="1"/>
        <v>-2.580598577388669</v>
      </c>
      <c r="P26" s="12"/>
      <c r="Q26">
        <f t="shared" si="7"/>
        <v>-3.5096140652485897E-4</v>
      </c>
      <c r="R26">
        <f t="shared" si="8"/>
        <v>3.5096140652485897E-4</v>
      </c>
    </row>
    <row r="27" spans="1:26" x14ac:dyDescent="0.3">
      <c r="A27" s="11"/>
      <c r="C27" s="11" t="s">
        <v>23</v>
      </c>
      <c r="D27" t="s">
        <v>23</v>
      </c>
      <c r="Q27" s="12"/>
      <c r="R27" s="12">
        <f>SUMSQ(R2:R26)^0.5</f>
        <v>1.5471305292022487E-3</v>
      </c>
      <c r="S27" s="12"/>
    </row>
    <row r="28" spans="1:26" x14ac:dyDescent="0.3">
      <c r="A28" s="11"/>
      <c r="C28" s="11">
        <f>((C8+C25)/2 + C16)/2</f>
        <v>22.599999999999998</v>
      </c>
      <c r="D28">
        <f>((D4+D19)/2 + D12)/2</f>
        <v>26.324999999999999</v>
      </c>
      <c r="F28" s="13">
        <f>((F25+F8)/2+F16)/2</f>
        <v>-3.5527136788005009E-15</v>
      </c>
      <c r="N28" s="12">
        <f>N25-N8</f>
        <v>8.5</v>
      </c>
      <c r="O28" s="12"/>
      <c r="P28" s="12">
        <f>N19-N4</f>
        <v>7.5</v>
      </c>
      <c r="T28">
        <f>8*60</f>
        <v>480</v>
      </c>
    </row>
    <row r="29" spans="1:26" x14ac:dyDescent="0.3">
      <c r="C29" s="11">
        <v>22.6</v>
      </c>
      <c r="D29">
        <v>26.324999999999999</v>
      </c>
      <c r="H29">
        <v>213</v>
      </c>
    </row>
    <row r="30" spans="1:26" x14ac:dyDescent="0.3">
      <c r="C30" s="11">
        <v>22.6</v>
      </c>
      <c r="D30">
        <v>26.324999999999999</v>
      </c>
      <c r="H30">
        <f>0.05/3^0.5</f>
        <v>2.8867513459481291E-2</v>
      </c>
      <c r="K30">
        <v>19</v>
      </c>
      <c r="L30">
        <f>((K33+K49)/2+K41)/2</f>
        <v>26.324999999999999</v>
      </c>
      <c r="N30">
        <v>29.9</v>
      </c>
      <c r="O30">
        <f>((N36+N53)/2+N44)/2</f>
        <v>22.599999999999998</v>
      </c>
      <c r="Q30">
        <f>L30-O30</f>
        <v>3.7250000000000014</v>
      </c>
      <c r="R30">
        <f>S40/Q30</f>
        <v>7.5930929523387633E-2</v>
      </c>
      <c r="S30">
        <f>(R30^2+H3^2)^0.5</f>
        <v>7.6762323117112494E-2</v>
      </c>
    </row>
    <row r="31" spans="1:26" x14ac:dyDescent="0.3">
      <c r="C31" s="11">
        <v>22.6</v>
      </c>
      <c r="D31">
        <v>26.324999999999999</v>
      </c>
      <c r="H31">
        <f>H30/H29</f>
        <v>1.355282322041375E-4</v>
      </c>
      <c r="K31">
        <v>16.5</v>
      </c>
      <c r="N31">
        <v>25</v>
      </c>
      <c r="Q31">
        <f>TAN(Q30/H29)</f>
        <v>1.7490045995193403E-2</v>
      </c>
      <c r="R31">
        <f>Q31/PI()*180</f>
        <v>1.0021058190142698</v>
      </c>
      <c r="S31">
        <f>R31*S30</f>
        <v>7.6923970676712028E-2</v>
      </c>
    </row>
    <row r="32" spans="1:26" x14ac:dyDescent="0.3">
      <c r="C32" s="11">
        <v>22.6</v>
      </c>
      <c r="D32">
        <v>26.324999999999999</v>
      </c>
      <c r="H32">
        <v>1.36E-4</v>
      </c>
      <c r="K32">
        <v>14.7</v>
      </c>
      <c r="N32">
        <v>19.8</v>
      </c>
      <c r="Q32">
        <f>S31*Q31</f>
        <v>1.3454037852686019E-3</v>
      </c>
      <c r="U32">
        <f>(S31^2+4*X21^2+0.02^2+0.01^2)^0.5</f>
        <v>8.0785961433416251E-2</v>
      </c>
    </row>
    <row r="33" spans="3:22" x14ac:dyDescent="0.3">
      <c r="C33" s="11">
        <v>22.6</v>
      </c>
      <c r="D33">
        <v>26.324999999999999</v>
      </c>
      <c r="H33">
        <v>1.36E-4</v>
      </c>
      <c r="K33" s="21">
        <v>14.5</v>
      </c>
      <c r="N33">
        <v>15.3</v>
      </c>
      <c r="U33">
        <f>7.5*60</f>
        <v>450</v>
      </c>
      <c r="V33">
        <f>8.5*60</f>
        <v>510</v>
      </c>
    </row>
    <row r="34" spans="3:22" x14ac:dyDescent="0.3">
      <c r="C34" s="11">
        <v>22.6</v>
      </c>
      <c r="D34">
        <v>26.324999999999999</v>
      </c>
      <c r="H34">
        <v>1.36E-4</v>
      </c>
      <c r="K34">
        <v>16.3</v>
      </c>
      <c r="N34">
        <v>12.1</v>
      </c>
      <c r="U34">
        <f>(T28+U33)/2</f>
        <v>465</v>
      </c>
    </row>
    <row r="35" spans="3:22" x14ac:dyDescent="0.3">
      <c r="C35" s="11">
        <v>22.6</v>
      </c>
      <c r="D35">
        <v>26.324999999999999</v>
      </c>
      <c r="H35">
        <v>1.36E-4</v>
      </c>
      <c r="K35">
        <v>19.2</v>
      </c>
      <c r="N35">
        <v>10.3</v>
      </c>
    </row>
    <row r="36" spans="3:22" x14ac:dyDescent="0.3">
      <c r="C36" s="11">
        <v>22.6</v>
      </c>
      <c r="D36">
        <v>26.324999999999999</v>
      </c>
      <c r="H36">
        <v>1.36E-4</v>
      </c>
      <c r="K36">
        <v>23.1</v>
      </c>
      <c r="N36" s="21">
        <v>10.199999999999999</v>
      </c>
    </row>
    <row r="37" spans="3:22" x14ac:dyDescent="0.3">
      <c r="C37" s="11">
        <v>22.6</v>
      </c>
      <c r="D37">
        <v>26.324999999999999</v>
      </c>
      <c r="H37">
        <v>1.36E-4</v>
      </c>
      <c r="K37">
        <v>27.5</v>
      </c>
      <c r="N37">
        <v>11.8</v>
      </c>
    </row>
    <row r="38" spans="3:22" x14ac:dyDescent="0.3">
      <c r="C38" s="11">
        <v>22.6</v>
      </c>
      <c r="D38">
        <v>26.324999999999999</v>
      </c>
      <c r="H38">
        <v>1.36E-4</v>
      </c>
      <c r="K38">
        <v>31.6</v>
      </c>
      <c r="N38">
        <v>14.5</v>
      </c>
    </row>
    <row r="39" spans="3:22" x14ac:dyDescent="0.3">
      <c r="C39" s="11">
        <v>22.6</v>
      </c>
      <c r="D39">
        <v>26.324999999999999</v>
      </c>
      <c r="H39">
        <v>1.36E-4</v>
      </c>
      <c r="K39">
        <v>34.799999999999997</v>
      </c>
      <c r="N39">
        <v>18.600000000000001</v>
      </c>
    </row>
    <row r="40" spans="3:22" x14ac:dyDescent="0.3">
      <c r="C40" s="11">
        <v>22.6</v>
      </c>
      <c r="D40">
        <v>26.324999999999999</v>
      </c>
      <c r="H40">
        <v>1.36E-4</v>
      </c>
      <c r="K40">
        <v>36.9</v>
      </c>
      <c r="N40">
        <v>22.8</v>
      </c>
      <c r="Q40">
        <f>0.2/3^0.5</f>
        <v>0.11547005383792516</v>
      </c>
      <c r="R40">
        <f>Q40*3^0.5</f>
        <v>0.2</v>
      </c>
      <c r="S40">
        <f>R40*2^0.5</f>
        <v>0.28284271247461906</v>
      </c>
    </row>
    <row r="41" spans="3:22" x14ac:dyDescent="0.3">
      <c r="C41" s="11">
        <v>22.6</v>
      </c>
      <c r="D41">
        <v>26.324999999999999</v>
      </c>
      <c r="H41">
        <v>1.36E-4</v>
      </c>
      <c r="K41" s="22">
        <v>37.299999999999997</v>
      </c>
      <c r="N41">
        <v>27.5</v>
      </c>
    </row>
    <row r="42" spans="3:22" x14ac:dyDescent="0.3">
      <c r="C42" s="11">
        <v>22.6</v>
      </c>
      <c r="D42">
        <v>26.324999999999999</v>
      </c>
      <c r="H42">
        <v>1.36E-4</v>
      </c>
      <c r="K42">
        <v>36.4</v>
      </c>
      <c r="N42">
        <v>31.2</v>
      </c>
    </row>
    <row r="43" spans="3:22" x14ac:dyDescent="0.3">
      <c r="C43" s="11">
        <v>22.6</v>
      </c>
      <c r="D43">
        <v>26.324999999999999</v>
      </c>
      <c r="H43">
        <v>1.36E-4</v>
      </c>
      <c r="K43">
        <v>34</v>
      </c>
      <c r="N43">
        <v>33.6</v>
      </c>
    </row>
    <row r="44" spans="3:22" x14ac:dyDescent="0.3">
      <c r="C44" s="11">
        <v>22.6</v>
      </c>
      <c r="D44">
        <v>26.324999999999999</v>
      </c>
      <c r="H44">
        <v>1.36E-4</v>
      </c>
      <c r="K44">
        <v>31.1</v>
      </c>
      <c r="N44" s="22">
        <v>34.299999999999997</v>
      </c>
    </row>
    <row r="45" spans="3:22" x14ac:dyDescent="0.3">
      <c r="C45" s="11">
        <v>22.6</v>
      </c>
      <c r="D45">
        <v>26.324999999999999</v>
      </c>
      <c r="H45">
        <v>1.36E-4</v>
      </c>
      <c r="K45">
        <v>27.3</v>
      </c>
      <c r="N45">
        <v>33.6</v>
      </c>
    </row>
    <row r="46" spans="3:22" x14ac:dyDescent="0.3">
      <c r="C46" s="11">
        <v>22.6</v>
      </c>
      <c r="D46">
        <v>26.324999999999999</v>
      </c>
      <c r="H46">
        <v>1.36E-4</v>
      </c>
      <c r="K46">
        <v>23.4</v>
      </c>
      <c r="N46">
        <v>31.5</v>
      </c>
    </row>
    <row r="47" spans="3:22" x14ac:dyDescent="0.3">
      <c r="C47" s="11">
        <v>22.6</v>
      </c>
      <c r="H47">
        <v>1.36E-4</v>
      </c>
      <c r="K47">
        <v>20</v>
      </c>
      <c r="N47">
        <v>28.3</v>
      </c>
    </row>
    <row r="48" spans="3:22" x14ac:dyDescent="0.3">
      <c r="C48" s="11">
        <v>22.6</v>
      </c>
      <c r="H48">
        <v>1.36E-4</v>
      </c>
      <c r="K48">
        <v>17.3</v>
      </c>
      <c r="N48">
        <v>24.2</v>
      </c>
    </row>
    <row r="49" spans="3:14" x14ac:dyDescent="0.3">
      <c r="C49" s="11">
        <v>22.6</v>
      </c>
      <c r="H49">
        <v>1.36E-4</v>
      </c>
      <c r="K49" s="21">
        <v>16.2</v>
      </c>
      <c r="N49">
        <v>20</v>
      </c>
    </row>
    <row r="50" spans="3:14" x14ac:dyDescent="0.3">
      <c r="C50" s="11">
        <v>22.6</v>
      </c>
      <c r="H50">
        <v>1.36E-4</v>
      </c>
      <c r="K50">
        <v>16.600000000000001</v>
      </c>
      <c r="N50">
        <v>16.3</v>
      </c>
    </row>
    <row r="51" spans="3:14" x14ac:dyDescent="0.3">
      <c r="C51" s="11">
        <v>22.6</v>
      </c>
      <c r="H51">
        <v>1.36E-4</v>
      </c>
      <c r="N51">
        <v>13.2</v>
      </c>
    </row>
    <row r="52" spans="3:14" x14ac:dyDescent="0.3">
      <c r="C52" s="11">
        <v>22.6</v>
      </c>
      <c r="H52">
        <v>1.36E-4</v>
      </c>
      <c r="N52">
        <v>11.7</v>
      </c>
    </row>
    <row r="53" spans="3:14" x14ac:dyDescent="0.3">
      <c r="C53" s="11"/>
      <c r="H53">
        <v>1.36E-4</v>
      </c>
      <c r="N53" s="21">
        <v>11.6</v>
      </c>
    </row>
    <row r="54" spans="3:14" x14ac:dyDescent="0.3">
      <c r="H54">
        <v>1.36E-4</v>
      </c>
      <c r="N54">
        <v>13</v>
      </c>
    </row>
    <row r="55" spans="3:14" x14ac:dyDescent="0.3">
      <c r="H55">
        <v>1.36E-4</v>
      </c>
    </row>
    <row r="56" spans="3:14" x14ac:dyDescent="0.3">
      <c r="H56">
        <v>1.36E-4</v>
      </c>
    </row>
    <row r="57" spans="3:14" x14ac:dyDescent="0.3">
      <c r="H57">
        <v>1.36E-4</v>
      </c>
    </row>
    <row r="58" spans="3:14" x14ac:dyDescent="0.3">
      <c r="H58">
        <v>1.36E-4</v>
      </c>
    </row>
    <row r="59" spans="3:14" x14ac:dyDescent="0.3">
      <c r="H59">
        <v>1.36E-4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Reverzní kyvadlo</vt:lpstr>
      <vt:lpstr>Cavendishovy váhy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2017-06-28T20:11:59Z</dcterms:modified>
</cp:coreProperties>
</file>