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067"/>
  <workbookPr filterPrivacy="1"/>
  <bookViews>
    <workbookView xWindow="0" yWindow="0" windowWidth="19200" windowHeight="6948" activeTab="5"/>
  </bookViews>
  <sheets>
    <sheet name="Ubbeleho trubice" sheetId="1" r:id="rId1"/>
    <sheet name="Mariattova láhev" sheetId="2" r:id="rId2"/>
    <sheet name="Pyknometr" sheetId="3" r:id="rId3"/>
    <sheet name="Ponorné teleso" sheetId="4" r:id="rId4"/>
    <sheet name="Povrchové napěti" sheetId="5" r:id="rId5"/>
    <sheet name="Kontaktní úhel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6" l="1"/>
  <c r="O2" i="6" s="1"/>
  <c r="L7" i="6" s="1"/>
  <c r="L8" i="6"/>
  <c r="O3" i="6"/>
  <c r="I11" i="5"/>
  <c r="D19" i="5"/>
  <c r="B19" i="5"/>
  <c r="H7" i="6" l="1"/>
  <c r="I7" i="6" s="1"/>
  <c r="N3" i="6"/>
  <c r="N2" i="6"/>
  <c r="M3" i="6"/>
  <c r="M2" i="6"/>
  <c r="L3" i="6"/>
  <c r="D18" i="5"/>
  <c r="B18" i="5"/>
  <c r="J11" i="5"/>
  <c r="I19" i="5"/>
  <c r="I18" i="5"/>
  <c r="J3" i="5"/>
  <c r="D17" i="5"/>
  <c r="E16" i="5"/>
  <c r="C16" i="5"/>
  <c r="B17" i="5" s="1"/>
  <c r="I10" i="5"/>
  <c r="J10" i="5" s="1"/>
  <c r="H11" i="5"/>
  <c r="H10" i="5"/>
  <c r="H3" i="5"/>
  <c r="M12" i="3"/>
  <c r="E3" i="4"/>
  <c r="E5" i="4"/>
  <c r="F2" i="4"/>
  <c r="C2" i="4"/>
  <c r="C1" i="4"/>
  <c r="H10" i="2"/>
  <c r="C11" i="2"/>
  <c r="C10" i="2"/>
  <c r="H3" i="4"/>
  <c r="D3" i="4"/>
  <c r="N8" i="3"/>
  <c r="M8" i="3"/>
  <c r="K9" i="3"/>
  <c r="L7" i="3"/>
  <c r="L12" i="3" s="1"/>
  <c r="K7" i="3"/>
  <c r="C9" i="2"/>
  <c r="D9" i="2"/>
  <c r="D10" i="2" s="1"/>
  <c r="K5" i="2"/>
  <c r="D6" i="2"/>
  <c r="F6" i="2" s="1"/>
  <c r="J3" i="2"/>
  <c r="J2" i="2"/>
  <c r="F2" i="2"/>
  <c r="E2" i="2"/>
  <c r="N8" i="1"/>
  <c r="N9" i="1"/>
  <c r="N7" i="1"/>
  <c r="Q4" i="1"/>
  <c r="Q5" i="1"/>
  <c r="Q3" i="1"/>
  <c r="O4" i="1"/>
  <c r="O5" i="1"/>
  <c r="O3" i="1"/>
  <c r="H10" i="1"/>
  <c r="O10" i="3" l="1"/>
  <c r="L9" i="3"/>
  <c r="M9" i="3"/>
  <c r="M13" i="3" s="1"/>
  <c r="N13" i="3" s="1"/>
  <c r="D16" i="5"/>
  <c r="B16" i="5"/>
  <c r="D15" i="5" l="1"/>
  <c r="B15" i="5"/>
  <c r="B3" i="1" l="1"/>
  <c r="C3" i="1"/>
  <c r="D3" i="1"/>
  <c r="D4" i="2"/>
  <c r="D3" i="2"/>
  <c r="D2" i="2"/>
  <c r="B9" i="2" l="1"/>
  <c r="B10" i="2" l="1"/>
  <c r="B11" i="2" s="1"/>
  <c r="G10" i="2"/>
  <c r="I10" i="2" s="1"/>
</calcChain>
</file>

<file path=xl/sharedStrings.xml><?xml version="1.0" encoding="utf-8"?>
<sst xmlns="http://schemas.openxmlformats.org/spreadsheetml/2006/main" count="71" uniqueCount="57">
  <si>
    <t>teplota [°C]</t>
  </si>
  <si>
    <t>čas [s]</t>
  </si>
  <si>
    <t>před</t>
  </si>
  <si>
    <t>po</t>
  </si>
  <si>
    <t>rozdíl</t>
  </si>
  <si>
    <t>rozměry</t>
  </si>
  <si>
    <t>R [mm]</t>
  </si>
  <si>
    <t>hmotnost [g]</t>
  </si>
  <si>
    <t>výška hladiny [cm]</t>
  </si>
  <si>
    <t>L [mm]</t>
  </si>
  <si>
    <t>nejistota</t>
  </si>
  <si>
    <r>
      <t>K [mm</t>
    </r>
    <r>
      <rPr>
        <sz val="11"/>
        <color theme="1"/>
        <rFont val="Calibri"/>
        <family val="2"/>
        <charset val="238"/>
      </rPr>
      <t>²</t>
    </r>
    <r>
      <rPr>
        <sz val="11"/>
        <color theme="1"/>
        <rFont val="Calibri"/>
        <family val="2"/>
      </rPr>
      <t>/s</t>
    </r>
    <r>
      <rPr>
        <sz val="11"/>
        <color theme="1"/>
        <rFont val="Calibri"/>
        <family val="2"/>
        <charset val="238"/>
      </rPr>
      <t>²</t>
    </r>
    <r>
      <rPr>
        <sz val="11"/>
        <color theme="1"/>
        <rFont val="Calibri"/>
        <family val="2"/>
      </rPr>
      <t>]</t>
    </r>
  </si>
  <si>
    <t>viskozita [cSt]</t>
  </si>
  <si>
    <t>tlak [hPa]</t>
  </si>
  <si>
    <r>
      <t>objem [m</t>
    </r>
    <r>
      <rPr>
        <sz val="11"/>
        <color theme="1"/>
        <rFont val="Calibri"/>
        <family val="2"/>
        <charset val="238"/>
      </rPr>
      <t>³</t>
    </r>
    <r>
      <rPr>
        <sz val="11"/>
        <color theme="1"/>
        <rFont val="Calibri"/>
        <family val="2"/>
      </rPr>
      <t>]</t>
    </r>
  </si>
  <si>
    <t>hustota [kg/m³]</t>
  </si>
  <si>
    <t>prázdná</t>
  </si>
  <si>
    <t>líh</t>
  </si>
  <si>
    <t>voda</t>
  </si>
  <si>
    <t>kontaktní úhel [°]</t>
  </si>
  <si>
    <t>ní</t>
  </si>
  <si>
    <t xml:space="preserve">Hustota lihu měřená pomocí povrchového napětí </t>
  </si>
  <si>
    <t>F_max [mN]</t>
  </si>
  <si>
    <t>Měření</t>
  </si>
  <si>
    <t>Kapalina</t>
  </si>
  <si>
    <t>Voda</t>
  </si>
  <si>
    <t>Líh</t>
  </si>
  <si>
    <t>Prumer</t>
  </si>
  <si>
    <t>Relativni</t>
  </si>
  <si>
    <t>Absolutni</t>
  </si>
  <si>
    <t>použíté přístroje</t>
  </si>
  <si>
    <t>nejistoty</t>
  </si>
  <si>
    <t>teplota</t>
  </si>
  <si>
    <t>relativni</t>
  </si>
  <si>
    <t>absolutni</t>
  </si>
  <si>
    <t>m_voda</t>
  </si>
  <si>
    <t>m_líh</t>
  </si>
  <si>
    <t>ro_voda</t>
  </si>
  <si>
    <t>ro_lih</t>
  </si>
  <si>
    <t>m_prázdná</t>
  </si>
  <si>
    <t>ro_vzduch</t>
  </si>
  <si>
    <t>997.3(7)</t>
  </si>
  <si>
    <t>Korekční faktor</t>
  </si>
  <si>
    <t>Průměr kroužku [mm]</t>
  </si>
  <si>
    <t>F_max</t>
  </si>
  <si>
    <t>sigma</t>
  </si>
  <si>
    <t>nejistota sile</t>
  </si>
  <si>
    <t xml:space="preserve">Voda </t>
  </si>
  <si>
    <t>Methylen iodid</t>
  </si>
  <si>
    <t>Lw voda</t>
  </si>
  <si>
    <t>Uhel</t>
  </si>
  <si>
    <t>Nejistota</t>
  </si>
  <si>
    <t>Radiany</t>
  </si>
  <si>
    <t>Ab voda</t>
  </si>
  <si>
    <t>methylen iodide</t>
  </si>
  <si>
    <t>lw</t>
  </si>
  <si>
    <t>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</si>
</sst>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.000"/>
    <numFmt numFmtId="166" formatCode="0.000"/>
    <numFmt numFmtId="167" formatCode="0.00000"/>
    <numFmt numFmtId="168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</font>
    <font>
      <sz val="11"/>
      <color rgb="FF333333"/>
      <name val="Calibri"/>
      <family val="2"/>
      <charset val="238"/>
      <scheme val="minor"/>
    </font>
    <font>
      <sz val="11"/>
      <color rgb="FF000000"/>
      <name val="Calibri"/>
      <family val="1"/>
      <charset val="1"/>
      <scheme val="minor"/>
    </font>
    <font>
      <sz val="11"/>
      <color rgb="FF333333"/>
      <name val="Calibri"/>
      <family val="1"/>
      <charset val="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165" fontId="0" fillId="0" borderId="0" xfId="0" applyNumberFormat="1"/>
    <xf numFmtId="11" fontId="0" fillId="0" borderId="0" xfId="0" applyNumberFormat="1"/>
    <xf numFmtId="166" fontId="0" fillId="0" borderId="0" xfId="0" applyNumberFormat="1"/>
    <xf numFmtId="165" fontId="3" fillId="0" borderId="0" xfId="0" applyNumberFormat="1" applyFont="1" applyAlignment="1">
      <alignment wrapText="1"/>
    </xf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167" fontId="0" fillId="0" borderId="0" xfId="0" applyNumberFormat="1"/>
    <xf numFmtId="164" fontId="0" fillId="0" borderId="1" xfId="0" applyNumberFormat="1" applyBorder="1"/>
    <xf numFmtId="166" fontId="0" fillId="0" borderId="1" xfId="0" applyNumberFormat="1" applyBorder="1"/>
    <xf numFmtId="0" fontId="0" fillId="0" borderId="0" xfId="0" applyBorder="1"/>
    <xf numFmtId="166" fontId="0" fillId="0" borderId="0" xfId="0" applyNumberFormat="1" applyBorder="1"/>
    <xf numFmtId="164" fontId="0" fillId="0" borderId="0" xfId="0" applyNumberFormat="1" applyBorder="1"/>
    <xf numFmtId="168" fontId="0" fillId="0" borderId="0" xfId="0" applyNumberFormat="1"/>
    <xf numFmtId="165" fontId="0" fillId="0" borderId="1" xfId="0" applyNumberFormat="1" applyBorder="1"/>
    <xf numFmtId="0" fontId="4" fillId="0" borderId="1" xfId="0" applyFont="1" applyBorder="1" applyAlignment="1">
      <alignment wrapText="1"/>
    </xf>
    <xf numFmtId="165" fontId="5" fillId="0" borderId="0" xfId="0" applyNumberFormat="1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I21" sqref="I21"/>
    </sheetView>
  </sheetViews>
  <sheetFormatPr defaultRowHeight="14.4" x14ac:dyDescent="0.3"/>
  <cols>
    <col min="1" max="1" width="12.77734375" customWidth="1"/>
    <col min="2" max="3" width="9.21875" customWidth="1"/>
    <col min="4" max="4" width="9.77734375" customWidth="1"/>
    <col min="5" max="5" width="10.21875" customWidth="1"/>
  </cols>
  <sheetData>
    <row r="1" spans="1:17" x14ac:dyDescent="0.3">
      <c r="A1" s="6" t="s">
        <v>0</v>
      </c>
      <c r="B1" s="6">
        <v>44.2</v>
      </c>
      <c r="C1" s="10">
        <v>33</v>
      </c>
      <c r="D1" s="10">
        <v>29</v>
      </c>
      <c r="N1" t="s">
        <v>31</v>
      </c>
    </row>
    <row r="2" spans="1:17" x14ac:dyDescent="0.3">
      <c r="A2" s="6" t="s">
        <v>1</v>
      </c>
      <c r="B2" s="6">
        <v>581.55999999999995</v>
      </c>
      <c r="C2" s="6">
        <v>726.94</v>
      </c>
      <c r="D2" s="6">
        <v>772.03</v>
      </c>
      <c r="N2" t="s">
        <v>32</v>
      </c>
    </row>
    <row r="3" spans="1:17" x14ac:dyDescent="0.3">
      <c r="A3" s="6" t="s">
        <v>12</v>
      </c>
      <c r="B3" s="11">
        <f>G3*B2</f>
        <v>0.61819827999999988</v>
      </c>
      <c r="C3" s="11">
        <f>H3*C2</f>
        <v>0.77273722</v>
      </c>
      <c r="D3" s="11">
        <f>I3*D2</f>
        <v>0.82066788999999996</v>
      </c>
      <c r="F3" t="s">
        <v>11</v>
      </c>
      <c r="G3" s="3">
        <v>1.0629999999999999E-3</v>
      </c>
      <c r="H3" s="3">
        <v>1.0629999999999999E-3</v>
      </c>
      <c r="I3" s="3">
        <v>1.0629999999999999E-3</v>
      </c>
      <c r="N3">
        <v>0.3</v>
      </c>
      <c r="O3">
        <f>N3/L7</f>
        <v>6.7873303167420808E-3</v>
      </c>
      <c r="P3">
        <v>6.4999999999999997E-3</v>
      </c>
      <c r="Q3">
        <f>(O3^2 + P3^2)^0.5</f>
        <v>9.3977578617756557E-3</v>
      </c>
    </row>
    <row r="4" spans="1:17" x14ac:dyDescent="0.3">
      <c r="N4">
        <v>0.3</v>
      </c>
      <c r="O4">
        <f t="shared" ref="O4:O5" si="0">N4/L8</f>
        <v>9.0909090909090905E-3</v>
      </c>
      <c r="P4">
        <v>6.4999999999999997E-3</v>
      </c>
      <c r="Q4">
        <f t="shared" ref="Q4:Q5" si="1">(O4^2 + P4^2)^0.5</f>
        <v>1.1175626519313069E-2</v>
      </c>
    </row>
    <row r="5" spans="1:17" x14ac:dyDescent="0.3">
      <c r="N5">
        <v>0.3</v>
      </c>
      <c r="O5">
        <f t="shared" si="0"/>
        <v>1.0344827586206896E-2</v>
      </c>
      <c r="P5">
        <v>6.4999999999999997E-3</v>
      </c>
      <c r="Q5">
        <f t="shared" si="1"/>
        <v>1.2217424351652323E-2</v>
      </c>
    </row>
    <row r="7" spans="1:17" x14ac:dyDescent="0.3">
      <c r="L7" s="12">
        <v>44.2</v>
      </c>
      <c r="M7" s="13">
        <v>0.61799999999999999</v>
      </c>
      <c r="N7">
        <f>M7*Q3</f>
        <v>5.807814358577355E-3</v>
      </c>
    </row>
    <row r="8" spans="1:17" x14ac:dyDescent="0.3">
      <c r="B8" t="s">
        <v>30</v>
      </c>
      <c r="L8" s="14">
        <v>33</v>
      </c>
      <c r="M8" s="13">
        <v>0.77300000000000002</v>
      </c>
      <c r="N8">
        <f t="shared" ref="N8:N9" si="2">M8*Q4</f>
        <v>8.6387592994290035E-3</v>
      </c>
    </row>
    <row r="9" spans="1:17" x14ac:dyDescent="0.3">
      <c r="L9" s="14">
        <v>29</v>
      </c>
      <c r="M9" s="13">
        <v>0.82099999999999995</v>
      </c>
      <c r="N9">
        <f t="shared" si="2"/>
        <v>1.0030505392706557E-2</v>
      </c>
    </row>
    <row r="10" spans="1:17" x14ac:dyDescent="0.3">
      <c r="B10" s="6"/>
      <c r="C10" s="6"/>
      <c r="D10" s="6"/>
      <c r="E10" s="6"/>
      <c r="H10">
        <f>0.5/((3)^0.5)</f>
        <v>0.28867513459481292</v>
      </c>
    </row>
    <row r="11" spans="1:17" x14ac:dyDescent="0.3">
      <c r="B11" s="6"/>
      <c r="C11" s="6"/>
      <c r="D11" s="6"/>
      <c r="E11" s="6"/>
    </row>
    <row r="12" spans="1:17" x14ac:dyDescent="0.3">
      <c r="B12" s="6"/>
      <c r="C12" s="6"/>
      <c r="D12" s="6"/>
      <c r="E12" s="6"/>
    </row>
    <row r="18" spans="4:5" x14ac:dyDescent="0.3">
      <c r="D18">
        <v>20</v>
      </c>
      <c r="E18" s="2">
        <v>1.002</v>
      </c>
    </row>
    <row r="19" spans="4:5" x14ac:dyDescent="0.3">
      <c r="D19">
        <v>30</v>
      </c>
      <c r="E19">
        <v>0.79800000000000004</v>
      </c>
    </row>
    <row r="20" spans="4:5" x14ac:dyDescent="0.3">
      <c r="D20">
        <v>40</v>
      </c>
      <c r="E20">
        <v>0.65300000000000002</v>
      </c>
    </row>
    <row r="21" spans="4:5" x14ac:dyDescent="0.3">
      <c r="D21">
        <v>50</v>
      </c>
      <c r="E21">
        <v>0.54700000000000004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J21" sqref="J21"/>
    </sheetView>
  </sheetViews>
  <sheetFormatPr defaultRowHeight="14.4" x14ac:dyDescent="0.3"/>
  <cols>
    <col min="1" max="1" width="16.21875" customWidth="1"/>
    <col min="2" max="3" width="12" bestFit="1" customWidth="1"/>
    <col min="4" max="4" width="9.109375" bestFit="1" customWidth="1"/>
    <col min="6" max="6" width="10" bestFit="1" customWidth="1"/>
    <col min="7" max="7" width="10.77734375" bestFit="1" customWidth="1"/>
  </cols>
  <sheetData>
    <row r="1" spans="1:11" x14ac:dyDescent="0.3">
      <c r="B1" t="s">
        <v>2</v>
      </c>
      <c r="C1" t="s">
        <v>3</v>
      </c>
      <c r="D1" t="s">
        <v>4</v>
      </c>
      <c r="E1" t="s">
        <v>34</v>
      </c>
      <c r="F1" t="s">
        <v>33</v>
      </c>
      <c r="H1" t="s">
        <v>5</v>
      </c>
      <c r="I1" t="s">
        <v>10</v>
      </c>
      <c r="J1" t="s">
        <v>33</v>
      </c>
    </row>
    <row r="2" spans="1:11" x14ac:dyDescent="0.3">
      <c r="A2" t="s">
        <v>7</v>
      </c>
      <c r="B2" s="2">
        <v>63.570999999999998</v>
      </c>
      <c r="C2">
        <v>112.36499999999999</v>
      </c>
      <c r="D2" s="2">
        <f>C2-B2</f>
        <v>48.793999999999997</v>
      </c>
      <c r="E2">
        <f>(0.003^2 + 0.003^2)^0.5</f>
        <v>4.2426406871192849E-3</v>
      </c>
      <c r="F2">
        <f>E2/D2</f>
        <v>8.6950048922393845E-5</v>
      </c>
      <c r="G2" t="s">
        <v>6</v>
      </c>
      <c r="H2">
        <v>0.56999999999999995</v>
      </c>
      <c r="I2">
        <v>1E-3</v>
      </c>
      <c r="J2">
        <f>I2/H2</f>
        <v>1.754385964912281E-3</v>
      </c>
    </row>
    <row r="3" spans="1:11" x14ac:dyDescent="0.3">
      <c r="A3" t="s">
        <v>8</v>
      </c>
      <c r="B3">
        <v>18.05</v>
      </c>
      <c r="C3">
        <v>17.77</v>
      </c>
      <c r="D3">
        <f>B3-C3</f>
        <v>0.28000000000000114</v>
      </c>
      <c r="G3" t="s">
        <v>9</v>
      </c>
      <c r="H3">
        <v>165</v>
      </c>
      <c r="I3">
        <v>0.5</v>
      </c>
      <c r="J3">
        <f>I3/H3</f>
        <v>3.0303030303030303E-3</v>
      </c>
    </row>
    <row r="4" spans="1:11" x14ac:dyDescent="0.3">
      <c r="A4" t="s">
        <v>1</v>
      </c>
      <c r="B4">
        <v>0</v>
      </c>
      <c r="C4">
        <v>186</v>
      </c>
      <c r="D4">
        <f>C4</f>
        <v>186</v>
      </c>
    </row>
    <row r="5" spans="1:11" x14ac:dyDescent="0.3">
      <c r="K5">
        <f>(16*J2^2)^0.5</f>
        <v>7.0175438596491238E-3</v>
      </c>
    </row>
    <row r="6" spans="1:11" x14ac:dyDescent="0.3">
      <c r="A6" t="s">
        <v>0</v>
      </c>
      <c r="B6">
        <v>23.5</v>
      </c>
      <c r="C6">
        <v>0.3</v>
      </c>
      <c r="D6">
        <f>C6/B6</f>
        <v>1.276595744680851E-2</v>
      </c>
      <c r="E6">
        <v>0.76619999999999999</v>
      </c>
      <c r="F6">
        <f>(D6^2 + E2^2)^0.5</f>
        <v>1.3452496776945372E-2</v>
      </c>
    </row>
    <row r="7" spans="1:11" x14ac:dyDescent="0.3">
      <c r="A7" t="s">
        <v>13</v>
      </c>
      <c r="B7" s="1">
        <v>985</v>
      </c>
      <c r="C7">
        <v>1E-3</v>
      </c>
      <c r="D7" s="5">
        <v>998.20500000000004</v>
      </c>
    </row>
    <row r="8" spans="1:11" x14ac:dyDescent="0.3">
      <c r="A8" t="s">
        <v>15</v>
      </c>
      <c r="B8" s="2">
        <v>997.31</v>
      </c>
      <c r="C8">
        <v>0.76619999999999999</v>
      </c>
      <c r="D8" s="5">
        <v>995.65099999999995</v>
      </c>
    </row>
    <row r="9" spans="1:11" x14ac:dyDescent="0.3">
      <c r="A9" t="s">
        <v>14</v>
      </c>
      <c r="B9">
        <f>D2/1000/B8</f>
        <v>4.8925609890605727E-5</v>
      </c>
      <c r="C9">
        <f>C8/B8</f>
        <v>7.682666372542139E-4</v>
      </c>
      <c r="D9">
        <f>(D7-D8)/10</f>
        <v>0.25540000000000873</v>
      </c>
      <c r="G9" t="s">
        <v>20</v>
      </c>
      <c r="H9" t="s">
        <v>33</v>
      </c>
    </row>
    <row r="10" spans="1:11" x14ac:dyDescent="0.3">
      <c r="B10" s="4">
        <f>B9*1000000</f>
        <v>48.925609890605728</v>
      </c>
      <c r="C10">
        <f>((C9/B8)^2 + F2^2)^0.5</f>
        <v>8.695346128561293E-5</v>
      </c>
      <c r="D10">
        <f>D9*3.5</f>
        <v>0.89390000000003056</v>
      </c>
      <c r="G10" s="15">
        <f>PI()*((H2/1000)^4)*D4*B7*1000/(8*B9*H3/1000)</f>
        <v>0.94078046481637312</v>
      </c>
      <c r="H10">
        <f>((16*J2^2+C7^2+C10^2+J3^2)^0.5)</f>
        <v>7.7094889053680076E-3</v>
      </c>
      <c r="I10">
        <f>H10*G10</f>
        <v>7.2529365558887861E-3</v>
      </c>
    </row>
    <row r="11" spans="1:11" x14ac:dyDescent="0.3">
      <c r="B11">
        <f>B10*F6</f>
        <v>0.6581716093634602</v>
      </c>
      <c r="C11">
        <f>B10*C10</f>
        <v>4.2542511254977863E-3</v>
      </c>
    </row>
    <row r="15" spans="1:11" x14ac:dyDescent="0.3">
      <c r="G15" s="6"/>
      <c r="H15" s="6"/>
      <c r="I15" s="6"/>
      <c r="J15" s="6"/>
      <c r="K15" s="6"/>
    </row>
    <row r="16" spans="1:11" x14ac:dyDescent="0.3">
      <c r="G16" s="6"/>
      <c r="H16" s="6"/>
      <c r="I16" s="6"/>
      <c r="J16" s="6"/>
      <c r="K16" s="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O10" sqref="O10"/>
    </sheetView>
  </sheetViews>
  <sheetFormatPr defaultRowHeight="14.4" x14ac:dyDescent="0.3"/>
  <cols>
    <col min="1" max="1" width="12.21875" customWidth="1"/>
    <col min="13" max="13" width="16" bestFit="1" customWidth="1"/>
  </cols>
  <sheetData>
    <row r="1" spans="1:15" x14ac:dyDescent="0.3">
      <c r="B1" t="s">
        <v>16</v>
      </c>
      <c r="C1" t="s">
        <v>17</v>
      </c>
      <c r="D1" t="s">
        <v>18</v>
      </c>
    </row>
    <row r="2" spans="1:15" x14ac:dyDescent="0.3">
      <c r="A2" t="s">
        <v>7</v>
      </c>
      <c r="B2">
        <v>23.576000000000001</v>
      </c>
      <c r="C2">
        <v>44.555999999999997</v>
      </c>
      <c r="D2">
        <v>49.023000000000003</v>
      </c>
    </row>
    <row r="5" spans="1:15" x14ac:dyDescent="0.3">
      <c r="J5" s="6" t="s">
        <v>39</v>
      </c>
      <c r="K5" s="6" t="s">
        <v>35</v>
      </c>
      <c r="L5" s="6" t="s">
        <v>36</v>
      </c>
      <c r="M5" s="6" t="s">
        <v>37</v>
      </c>
      <c r="N5" s="6" t="s">
        <v>38</v>
      </c>
      <c r="O5" s="6" t="s">
        <v>40</v>
      </c>
    </row>
    <row r="6" spans="1:15" x14ac:dyDescent="0.3">
      <c r="J6" s="6">
        <v>23.576000000000001</v>
      </c>
      <c r="K6" s="6">
        <v>44.555999999999997</v>
      </c>
      <c r="L6" s="6">
        <v>49.023000000000003</v>
      </c>
      <c r="M6" s="16">
        <v>997.31</v>
      </c>
      <c r="N6" s="17">
        <v>1.1904999999999999</v>
      </c>
      <c r="O6" s="6">
        <v>1.1904999999999999</v>
      </c>
    </row>
    <row r="7" spans="1:15" x14ac:dyDescent="0.3">
      <c r="K7" s="4">
        <f>K6-J6</f>
        <v>20.979999999999997</v>
      </c>
      <c r="L7">
        <f>L6-J6</f>
        <v>25.447000000000003</v>
      </c>
      <c r="M7">
        <v>7.0000000000000007E-2</v>
      </c>
      <c r="N7">
        <v>1E-3</v>
      </c>
    </row>
    <row r="8" spans="1:15" x14ac:dyDescent="0.3">
      <c r="K8">
        <v>4.2426E-3</v>
      </c>
      <c r="L8">
        <v>4.2426E-3</v>
      </c>
      <c r="M8">
        <f>(M7^2 + N7^2)^0.5</f>
        <v>7.0007142492748559E-2</v>
      </c>
      <c r="N8" s="2">
        <f>M6-N6</f>
        <v>996.1194999999999</v>
      </c>
    </row>
    <row r="9" spans="1:15" x14ac:dyDescent="0.3">
      <c r="K9">
        <f>K8/K7</f>
        <v>2.022211630123928E-4</v>
      </c>
      <c r="L9">
        <f>L8/L7</f>
        <v>1.6672299288717724E-4</v>
      </c>
      <c r="M9">
        <f>M8/N8</f>
        <v>7.0279863503072237E-5</v>
      </c>
    </row>
    <row r="10" spans="1:15" x14ac:dyDescent="0.3">
      <c r="J10" s="17">
        <v>23.576000000000001</v>
      </c>
      <c r="K10" s="17">
        <v>44.555999999999997</v>
      </c>
      <c r="L10" s="17">
        <v>49.023000000000003</v>
      </c>
      <c r="M10" s="17" t="s">
        <v>41</v>
      </c>
      <c r="O10">
        <f>(M6-N6)*(K7/L7) - O6</f>
        <v>820.06886691947932</v>
      </c>
    </row>
    <row r="12" spans="1:15" x14ac:dyDescent="0.3">
      <c r="J12">
        <v>1E-4</v>
      </c>
      <c r="L12">
        <f>(M6-N6)*(K7/L7)</f>
        <v>821.25936691947936</v>
      </c>
      <c r="M12">
        <f>(K9^2 + L9^2 + M9^2 + J12^2)^0.5</f>
        <v>2.8918716143935737E-4</v>
      </c>
    </row>
    <row r="13" spans="1:15" x14ac:dyDescent="0.3">
      <c r="M13">
        <f>L12*M12</f>
        <v>0.2374976651249279</v>
      </c>
      <c r="N13" s="15">
        <f>(M13^2 + N7^2)^0.5</f>
        <v>0.23749977039945197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G5" sqref="G5"/>
    </sheetView>
  </sheetViews>
  <sheetFormatPr defaultRowHeight="14.4" x14ac:dyDescent="0.3"/>
  <cols>
    <col min="6" max="6" width="12" bestFit="1" customWidth="1"/>
  </cols>
  <sheetData>
    <row r="1" spans="1:8" x14ac:dyDescent="0.3">
      <c r="A1" s="1">
        <v>57.7</v>
      </c>
      <c r="B1">
        <v>0.03</v>
      </c>
      <c r="C1">
        <f>B1/A1</f>
        <v>5.1993067590987868E-4</v>
      </c>
      <c r="H1">
        <v>30</v>
      </c>
    </row>
    <row r="2" spans="1:8" x14ac:dyDescent="0.3">
      <c r="A2">
        <v>70.13</v>
      </c>
      <c r="B2">
        <v>0.03</v>
      </c>
      <c r="C2">
        <f>B2/A2</f>
        <v>4.2777698559817484E-4</v>
      </c>
      <c r="D2" s="18">
        <v>995.65099999999995</v>
      </c>
      <c r="E2">
        <v>0.09</v>
      </c>
      <c r="F2">
        <f>E2/D2</f>
        <v>9.0393119677477347E-5</v>
      </c>
      <c r="H2">
        <v>0.3</v>
      </c>
    </row>
    <row r="3" spans="1:8" x14ac:dyDescent="0.3">
      <c r="D3" s="2">
        <f>A1/A2*D2</f>
        <v>819.17956224155148</v>
      </c>
      <c r="E3">
        <f>D3*E5</f>
        <v>0.556494894609604</v>
      </c>
      <c r="H3">
        <f>H2/H1</f>
        <v>0.01</v>
      </c>
    </row>
    <row r="5" spans="1:8" x14ac:dyDescent="0.3">
      <c r="E5">
        <f>(C1^2 + C2^2 + F2^2)^0.5</f>
        <v>6.793320051672754E-4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I12" sqref="I12"/>
    </sheetView>
  </sheetViews>
  <sheetFormatPr defaultRowHeight="14.4" x14ac:dyDescent="0.3"/>
  <cols>
    <col min="2" max="2" width="12" customWidth="1"/>
    <col min="4" max="4" width="11" customWidth="1"/>
    <col min="8" max="8" width="10.88671875" customWidth="1"/>
  </cols>
  <sheetData>
    <row r="1" spans="1:10" x14ac:dyDescent="0.3">
      <c r="A1" t="s">
        <v>21</v>
      </c>
      <c r="F1" t="s">
        <v>42</v>
      </c>
      <c r="H1" t="s">
        <v>43</v>
      </c>
    </row>
    <row r="2" spans="1:10" x14ac:dyDescent="0.3">
      <c r="A2" s="19" t="s">
        <v>24</v>
      </c>
      <c r="B2" s="19"/>
      <c r="F2">
        <v>0.77</v>
      </c>
      <c r="H2">
        <v>58</v>
      </c>
      <c r="I2">
        <v>0.1</v>
      </c>
    </row>
    <row r="3" spans="1:10" x14ac:dyDescent="0.3">
      <c r="A3" t="s">
        <v>25</v>
      </c>
      <c r="C3" t="s">
        <v>26</v>
      </c>
      <c r="H3">
        <f>H2/2</f>
        <v>29</v>
      </c>
      <c r="I3">
        <v>0.05</v>
      </c>
      <c r="J3">
        <f>I3/H3</f>
        <v>1.724137931034483E-3</v>
      </c>
    </row>
    <row r="4" spans="1:10" x14ac:dyDescent="0.3">
      <c r="A4" t="s">
        <v>23</v>
      </c>
      <c r="B4" t="s">
        <v>22</v>
      </c>
      <c r="C4" t="s">
        <v>23</v>
      </c>
      <c r="D4" t="s">
        <v>22</v>
      </c>
    </row>
    <row r="5" spans="1:10" x14ac:dyDescent="0.3">
      <c r="A5">
        <v>1</v>
      </c>
      <c r="B5" s="9">
        <v>36.081180000000003</v>
      </c>
      <c r="C5">
        <v>1</v>
      </c>
      <c r="D5" s="9">
        <v>13.02768</v>
      </c>
    </row>
    <row r="6" spans="1:10" x14ac:dyDescent="0.3">
      <c r="A6">
        <v>2</v>
      </c>
      <c r="B6" s="9">
        <v>36.071370000000002</v>
      </c>
      <c r="C6">
        <v>2</v>
      </c>
      <c r="D6" s="9">
        <v>13.1454</v>
      </c>
    </row>
    <row r="7" spans="1:10" x14ac:dyDescent="0.3">
      <c r="A7">
        <v>3</v>
      </c>
      <c r="B7" s="9">
        <v>36.041939999999997</v>
      </c>
      <c r="C7">
        <v>3</v>
      </c>
      <c r="D7" s="9">
        <v>13.1454</v>
      </c>
    </row>
    <row r="8" spans="1:10" x14ac:dyDescent="0.3">
      <c r="A8">
        <v>4</v>
      </c>
      <c r="B8" s="9">
        <v>35.914409999999997</v>
      </c>
      <c r="C8">
        <v>4</v>
      </c>
      <c r="D8" s="9">
        <v>13.16502</v>
      </c>
    </row>
    <row r="9" spans="1:10" x14ac:dyDescent="0.3">
      <c r="A9">
        <v>5</v>
      </c>
      <c r="B9" s="9">
        <v>36.110610000000001</v>
      </c>
      <c r="C9">
        <v>5</v>
      </c>
      <c r="D9" s="9">
        <v>13.20426</v>
      </c>
      <c r="G9" s="6"/>
      <c r="H9" s="6" t="s">
        <v>44</v>
      </c>
      <c r="I9" s="6" t="s">
        <v>45</v>
      </c>
    </row>
    <row r="10" spans="1:10" x14ac:dyDescent="0.3">
      <c r="A10">
        <v>6</v>
      </c>
      <c r="B10" s="9">
        <v>36.110610000000001</v>
      </c>
      <c r="C10">
        <v>6</v>
      </c>
      <c r="D10" s="9">
        <v>13.106159999999999</v>
      </c>
      <c r="G10" s="6" t="s">
        <v>25</v>
      </c>
      <c r="H10" s="11">
        <f>B15</f>
        <v>36.081180000000003</v>
      </c>
      <c r="I10" s="11">
        <f>B19*1000</f>
        <v>76.23661336522575</v>
      </c>
      <c r="J10">
        <f>I18*I10</f>
        <v>0.64883213701292108</v>
      </c>
    </row>
    <row r="11" spans="1:10" x14ac:dyDescent="0.3">
      <c r="A11">
        <v>7</v>
      </c>
      <c r="B11" s="9">
        <v>36.159660000000002</v>
      </c>
      <c r="C11">
        <v>7</v>
      </c>
      <c r="D11" s="9">
        <v>13.125780000000001</v>
      </c>
      <c r="G11" s="6" t="s">
        <v>26</v>
      </c>
      <c r="H11" s="11">
        <f>D15</f>
        <v>13.141476000000001</v>
      </c>
      <c r="I11" s="11">
        <f>D19*1000</f>
        <v>27.766875275708649</v>
      </c>
      <c r="J11">
        <f>I19*I11</f>
        <v>0.63651313699061451</v>
      </c>
    </row>
    <row r="12" spans="1:10" x14ac:dyDescent="0.3">
      <c r="A12">
        <v>8</v>
      </c>
      <c r="B12" s="9">
        <v>36.140039999999999</v>
      </c>
      <c r="C12">
        <v>8</v>
      </c>
      <c r="D12" s="9">
        <v>13.125780000000001</v>
      </c>
    </row>
    <row r="13" spans="1:10" x14ac:dyDescent="0.3">
      <c r="A13">
        <v>9</v>
      </c>
      <c r="B13" s="9">
        <v>36.120420000000003</v>
      </c>
      <c r="C13">
        <v>9</v>
      </c>
      <c r="D13" s="9">
        <v>13.16502</v>
      </c>
    </row>
    <row r="14" spans="1:10" x14ac:dyDescent="0.3">
      <c r="A14">
        <v>10</v>
      </c>
      <c r="B14" s="9">
        <v>36.06156</v>
      </c>
      <c r="C14">
        <v>10</v>
      </c>
      <c r="D14" s="9">
        <v>13.20426</v>
      </c>
    </row>
    <row r="15" spans="1:10" x14ac:dyDescent="0.3">
      <c r="A15" t="s">
        <v>27</v>
      </c>
      <c r="B15" s="9">
        <f>AVERAGE(B5:B14)</f>
        <v>36.081180000000003</v>
      </c>
      <c r="D15" s="9">
        <f>AVERAGE(D5:D14)</f>
        <v>13.141476000000001</v>
      </c>
      <c r="G15" t="s">
        <v>46</v>
      </c>
    </row>
    <row r="16" spans="1:10" x14ac:dyDescent="0.3">
      <c r="A16" t="s">
        <v>29</v>
      </c>
      <c r="B16">
        <f>_xlfn.STDEV.P(B5:B14)/(10)^0.5</f>
        <v>2.0670952663097548E-2</v>
      </c>
      <c r="C16">
        <f>(B16^2 + G16^2)^0.5</f>
        <v>0.30071130388463951</v>
      </c>
      <c r="D16">
        <f>_xlfn.STDEV.P(D5:D14)/(10)^0.5</f>
        <v>1.5398887959849544E-2</v>
      </c>
      <c r="E16">
        <f>(D16^2 + G16^2)^0.5</f>
        <v>0.30039494960867769</v>
      </c>
      <c r="G16">
        <v>0.3</v>
      </c>
    </row>
    <row r="17" spans="1:9" x14ac:dyDescent="0.3">
      <c r="A17" t="s">
        <v>28</v>
      </c>
      <c r="B17">
        <f>C16/B15</f>
        <v>8.3342979327350013E-3</v>
      </c>
      <c r="D17">
        <f>E16/D15</f>
        <v>2.2858539604583051E-2</v>
      </c>
      <c r="I17" t="s">
        <v>33</v>
      </c>
    </row>
    <row r="18" spans="1:9" x14ac:dyDescent="0.3">
      <c r="B18">
        <f>B17*B15</f>
        <v>0.30071130388463951</v>
      </c>
      <c r="D18">
        <f>D17*D15</f>
        <v>0.30039494960867769</v>
      </c>
      <c r="I18">
        <f>(J3^2 + B17^2)^0.5</f>
        <v>8.5107680991096685E-3</v>
      </c>
    </row>
    <row r="19" spans="1:9" x14ac:dyDescent="0.3">
      <c r="B19">
        <f>B15/(4*PI()*H3)*0.77</f>
        <v>7.6236613365225747E-2</v>
      </c>
      <c r="D19">
        <f>D15/(4*PI()*H3)*0.77</f>
        <v>2.776687527570865E-2</v>
      </c>
      <c r="I19">
        <f>(J3^2 + D17^2)^0.5</f>
        <v>2.2923470166175183E-2</v>
      </c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activeCell="G12" sqref="G12:J14"/>
    </sheetView>
  </sheetViews>
  <sheetFormatPr defaultRowHeight="14.4" x14ac:dyDescent="0.3"/>
  <sheetData>
    <row r="1" spans="1:15" x14ac:dyDescent="0.3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t="s">
        <v>50</v>
      </c>
      <c r="N1" t="s">
        <v>51</v>
      </c>
      <c r="O1" t="s">
        <v>52</v>
      </c>
    </row>
    <row r="2" spans="1:15" x14ac:dyDescent="0.3">
      <c r="A2" s="6" t="s">
        <v>18</v>
      </c>
      <c r="B2" s="6">
        <v>85.8</v>
      </c>
      <c r="C2" s="6">
        <v>93.7</v>
      </c>
      <c r="D2" s="6">
        <v>85.4</v>
      </c>
      <c r="E2" s="6">
        <v>80.099999999999994</v>
      </c>
      <c r="F2" s="6">
        <v>78.400000000000006</v>
      </c>
      <c r="G2" s="6">
        <v>76.900000000000006</v>
      </c>
      <c r="H2" s="6">
        <v>75.599999999999994</v>
      </c>
      <c r="I2" s="6">
        <v>88.4</v>
      </c>
      <c r="J2" s="6">
        <v>87.8</v>
      </c>
      <c r="K2" s="6">
        <v>79.3</v>
      </c>
      <c r="L2">
        <f>AVERAGE(B2:J2)</f>
        <v>83.566666666666663</v>
      </c>
      <c r="M2">
        <f>_xlfn.STDEV.P(B2:K2)</f>
        <v>5.6153717597323878</v>
      </c>
      <c r="N2">
        <f>M2/(10)^0.5</f>
        <v>1.7757364669342128</v>
      </c>
      <c r="O2">
        <f>L2/180*PI()</f>
        <v>1.4585134782499281</v>
      </c>
    </row>
    <row r="3" spans="1:15" x14ac:dyDescent="0.3">
      <c r="A3" s="7" t="s">
        <v>17</v>
      </c>
      <c r="B3" s="7">
        <v>69.2</v>
      </c>
      <c r="C3" s="7">
        <v>65.900000000000006</v>
      </c>
      <c r="D3" s="7">
        <v>64.599999999999994</v>
      </c>
      <c r="E3" s="7">
        <v>57.4</v>
      </c>
      <c r="F3" s="8">
        <v>56</v>
      </c>
      <c r="L3">
        <f>AVERAGE(B3:F3)</f>
        <v>62.620000000000005</v>
      </c>
      <c r="M3">
        <f>_xlfn.STDEV.P(B3:F3)</f>
        <v>5.0803149508667289</v>
      </c>
      <c r="N3">
        <f>M3/(5^0.5)</f>
        <v>2.2719859154493021</v>
      </c>
      <c r="O3">
        <f>L3/180*PI()</f>
        <v>1.0929251775988491</v>
      </c>
    </row>
    <row r="6" spans="1:15" x14ac:dyDescent="0.3">
      <c r="C6" t="s">
        <v>47</v>
      </c>
      <c r="E6" t="s">
        <v>48</v>
      </c>
      <c r="H6" t="s">
        <v>49</v>
      </c>
      <c r="I6" t="s">
        <v>53</v>
      </c>
    </row>
    <row r="7" spans="1:15" x14ac:dyDescent="0.3">
      <c r="C7">
        <v>72.8</v>
      </c>
      <c r="E7">
        <v>50.8</v>
      </c>
      <c r="H7">
        <f>(C7^2)/E7^2*E8*((1+COS(O2))/(1+COS(O3)))^2</f>
        <v>21.687669135477027</v>
      </c>
      <c r="I7">
        <f>C7-H7</f>
        <v>51.112330864522974</v>
      </c>
      <c r="L7">
        <f>COS(O2)</f>
        <v>0.11204706404928119</v>
      </c>
    </row>
    <row r="8" spans="1:15" x14ac:dyDescent="0.3">
      <c r="E8">
        <v>18.2</v>
      </c>
      <c r="L8">
        <f>COS(O3)</f>
        <v>0.45988985072076149</v>
      </c>
    </row>
    <row r="12" spans="1:15" x14ac:dyDescent="0.3">
      <c r="G12" s="6"/>
      <c r="H12" s="6" t="s">
        <v>45</v>
      </c>
      <c r="I12" s="6" t="s">
        <v>55</v>
      </c>
      <c r="J12" s="6" t="s">
        <v>56</v>
      </c>
    </row>
    <row r="13" spans="1:15" x14ac:dyDescent="0.3">
      <c r="G13" s="6" t="s">
        <v>18</v>
      </c>
      <c r="H13" s="6"/>
      <c r="I13" s="6"/>
      <c r="J13" s="6"/>
    </row>
    <row r="14" spans="1:15" x14ac:dyDescent="0.3">
      <c r="G14" s="6" t="s">
        <v>54</v>
      </c>
      <c r="H14" s="6"/>
      <c r="I14" s="6"/>
      <c r="J14" s="6"/>
    </row>
  </sheetData>
  <mergeCells count="1">
    <mergeCell ref="A1:K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Ubbeleho trubice</vt:lpstr>
      <vt:lpstr>Mariattova láhev</vt:lpstr>
      <vt:lpstr>Pyknometr</vt:lpstr>
      <vt:lpstr>Ponorné teleso</vt:lpstr>
      <vt:lpstr>Povrchové napěti</vt:lpstr>
      <vt:lpstr>Kontaktní úhel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2017-06-10T17:35:53Z</dcterms:modified>
</cp:coreProperties>
</file>